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codeName="{643B0D74-A683-FBA9-23B4-8A0AA6E0B6B9}"/>
  <workbookPr codeName="ThisWorkbook"/>
  <mc:AlternateContent xmlns:mc="http://schemas.openxmlformats.org/markup-compatibility/2006">
    <mc:Choice Requires="x15">
      <x15ac:absPath xmlns:x15ac="http://schemas.microsoft.com/office/spreadsheetml/2010/11/ac" url="/Users/jpsfeir/Climate Focus Dropbox/All Projects/CFBV/20827 - Banque Ouest Africaine - West African Alliance IKI/Work Packages/WP2 National Article 6 readiness/2.1 Knowledge products/2.1 Carbon Levies Simulator/! Carbon Levies Simulator (on WAA Website)/"/>
    </mc:Choice>
  </mc:AlternateContent>
  <xr:revisionPtr revIDLastSave="0" documentId="13_ncr:1_{1A4DD828-075A-CC4D-BC79-1D4999068C94}" xr6:coauthVersionLast="47" xr6:coauthVersionMax="47" xr10:uidLastSave="{00000000-0000-0000-0000-000000000000}"/>
  <bookViews>
    <workbookView xWindow="28800" yWindow="600" windowWidth="38400" windowHeight="21000" xr2:uid="{C14195BF-FB16-4642-A216-6AC9181886C1}"/>
  </bookViews>
  <sheets>
    <sheet name="Cover" sheetId="24" r:id="rId1"/>
    <sheet name="1.User Guide" sheetId="5" r:id="rId2"/>
    <sheet name="2.Definitions" sheetId="3" r:id="rId3"/>
    <sheet name="3.Gov Dashboard" sheetId="10" r:id="rId4"/>
    <sheet name="4.Inputs" sheetId="21" r:id="rId5"/>
    <sheet name="5.F&amp;L_Calculations" sheetId="7" r:id="rId6"/>
    <sheet name="6.Gov operational costs" sheetId="19" r:id="rId7"/>
    <sheet name="7.Opportunity costs" sheetId="18" r:id="rId8"/>
    <sheet name="8.NDC contribution" sheetId="22" r:id="rId9"/>
    <sheet name="Preset_Data" sheetId="8" state="hidden" r:id="rId10"/>
    <sheet name="Support Table" sheetId="13" state="hidden" r:id="rId11"/>
  </sheets>
  <externalReferences>
    <externalReference r:id="rId12"/>
    <externalReference r:id="rId13"/>
    <externalReference r:id="rId14"/>
  </externalReferences>
  <definedNames>
    <definedName name="_xlnm._FilterDatabase" localSheetId="2" hidden="1">'2.Definitions'!$B$4:$C$4</definedName>
    <definedName name="_xlnm._FilterDatabase" localSheetId="4" hidden="1">'4.Inputs'!$B$2:$D$17</definedName>
    <definedName name="_xlnm._FilterDatabase" localSheetId="9" hidden="1">Preset_Data!$A$1:$L$108</definedName>
    <definedName name="_xleta.FIXED" hidden="1" xlm="1">#NAME?</definedName>
    <definedName name="_xleta.IF" hidden="1" xlm="1">#NAME?</definedName>
    <definedName name="_xlpm.countries" hidden="1" xlm="1">#NAME?</definedName>
    <definedName name="_xlpm.filtered_countries" hidden="1" xlm="1">#NAME?</definedName>
    <definedName name="_xlpm.filtered_scores" hidden="1" xlm="1">#NAME?</definedName>
    <definedName name="_xlpm.sActivity" hidden="1" xlm="1">#NAME?</definedName>
    <definedName name="_xlpm.scores" hidden="1" xlm="1">#NAME?</definedName>
    <definedName name="_xlpm.sCountry" hidden="1" xlm="1">#NAME?</definedName>
    <definedName name="_xlpm.sectorCondition" hidden="1" xlm="1">#NAME?</definedName>
    <definedName name="_xlpm.select_criteria" hidden="1" xlm="1">#NAME?</definedName>
    <definedName name="_xlpm.sFeeGroup" hidden="1" xlm="1">#NAME?</definedName>
    <definedName name="_xlpm.shortlisted" hidden="1" xlm="1">#NAME?</definedName>
    <definedName name="_xlpm.sorted_countries" hidden="1" xlm="1">#NAME?</definedName>
    <definedName name="_xlpm.source_val" hidden="1" xlm="1">#NAME?</definedName>
    <definedName name="_xlpm.sPathway" hidden="1" xlm="1">#NAME?</definedName>
    <definedName name="_xlpm.sSector" hidden="1" xlm="1">#NAME?</definedName>
    <definedName name="_xlpm.valid" hidden="1" xlm="1">#NAME?</definedName>
    <definedName name="a6_min">[1]Dashboard!$E$6</definedName>
    <definedName name="a6_score">[1]Dashboard!$D$6</definedName>
    <definedName name="A6.2_score">'[2]Support tables'!$C$14</definedName>
    <definedName name="A6.4_score">'[2]Support tables'!$C$15</definedName>
    <definedName name="activity_support">'Support Table'!$P$4</definedName>
    <definedName name="annual_credits">'4.Inputs'!$D$15</definedName>
    <definedName name="annual_revenue">'3.Gov Dashboard'!$D$24</definedName>
    <definedName name="annual_revenue_ndc">'3.Gov Dashboard'!$E$24</definedName>
    <definedName name="authorized_credits">'4.Inputs'!$D$45</definedName>
    <definedName name="authorized_credits_ndc">'4.Inputs'!$E$45</definedName>
    <definedName name="avg_price">'4.Inputs'!$D$16</definedName>
    <definedName name="business_min">[1]Dashboard!$E$7</definedName>
    <definedName name="business_score">'[2]Support tables'!$C$16</definedName>
    <definedName name="climate_scale">#REF!</definedName>
    <definedName name="climate_score">#REF!</definedName>
    <definedName name="complete_list">'Support Table'!$C$2:$C$10</definedName>
    <definedName name="cooking_min">[1]Dashboard!$E$10</definedName>
    <definedName name="cooking_score">[1]Dashboard!$D$10</definedName>
    <definedName name="corruption_min">[1]Dashboard!$E$9</definedName>
    <definedName name="corruption_score">[1]Dashboard!$D$9</definedName>
    <definedName name="fnrb_min">[1]Dashboard!$E$8</definedName>
    <definedName name="fnrb_score">[1]Dashboard!$D$8</definedName>
    <definedName name="forest_activities">_xlfn.ANCHORARRAY('Support Table'!$I$2)</definedName>
    <definedName name="fx_rate">'4.Inputs'!$D$67</definedName>
    <definedName name="gender_score">#REF!</definedName>
    <definedName name="gov_source">'5.F&amp;L_Calculations'!$C$10</definedName>
    <definedName name="gross_revenue">'3.Gov Dashboard'!$D$23</definedName>
    <definedName name="gross_revenue_ndc">'3.Gov Dashboard'!$E$23</definedName>
    <definedName name="income_score">#REF!</definedName>
    <definedName name="itmo_price">'4.Inputs'!$D$17</definedName>
    <definedName name="market_min">[1]Dashboard!$E$5</definedName>
    <definedName name="market_score" localSheetId="0">'[2]Support tables'!$C$13</definedName>
    <definedName name="market_score">#REF!</definedName>
    <definedName name="non_authorized_credits">'4.Inputs'!$D$46</definedName>
    <definedName name="non_authorized_credits_ndc">'4.Inputs'!$E$46</definedName>
    <definedName name="non_forest_activities">_xlfn.ANCHORARRAY('Support Table'!$H$2)</definedName>
    <definedName name="non_forestry_list">_xlfn.ANCHORARRAY('Support Table'!$B$2)</definedName>
    <definedName name="path_forest">_xlfn.ANCHORARRAY('Support Table'!$G$2)</definedName>
    <definedName name="path_non_forest">_xlfn.ANCHORARRAY('Support Table'!$F$2)</definedName>
    <definedName name="safety_min">[1]Dashboard!$E$11</definedName>
    <definedName name="safety_score">[1]Dashboard!$D$11</definedName>
    <definedName name="scale_score">#REF!</definedName>
    <definedName name="sector_list">_xlfn.ANCHORARRAY('Support Table'!$B$2)</definedName>
    <definedName name="selActivityCat">'4.Inputs'!$D$11</definedName>
    <definedName name="selCountry">'4.Inputs'!$D$7</definedName>
    <definedName name="select_criteria">[3]Ranking!$E$4</definedName>
    <definedName name="selected_criteria">[1]Dashboard!$C$29</definedName>
    <definedName name="selProjectType">'Support Table'!$E$2</definedName>
    <definedName name="tblSupport">'Support Table'!$A$2:$O$30</definedName>
    <definedName name="to_usd">'4.Inputs'!$D$66</definedName>
    <definedName name="total_credits">'4.Inputs'!$D$10</definedName>
    <definedName name="total_credits_ndc">'4.Inputs'!$D$25</definedName>
    <definedName name="uplift_gender">#REF!</definedName>
    <definedName name="withheld_authorized_credits">'4.Inputs'!$D$52</definedName>
    <definedName name="withheld_authorized_ndc_credits">'4.Inputs'!$E$52</definedName>
    <definedName name="zw_environment">'Support Table'!$Q$4</definedName>
    <definedName name="zw_registration_fee">'Support Table'!$Q$2</definedName>
    <definedName name="zw_renewal_fee">'Support Table'!$Q$3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96" i="10" l="1"/>
  <c r="E94" i="10"/>
  <c r="E52" i="21"/>
  <c r="D52" i="21"/>
  <c r="D49" i="10"/>
  <c r="G49" i="10" s="1"/>
  <c r="H49" i="10" s="1"/>
  <c r="D48" i="10"/>
  <c r="D57" i="7"/>
  <c r="D41" i="7"/>
  <c r="D28" i="7"/>
  <c r="D13" i="7"/>
  <c r="D11" i="7"/>
  <c r="D10" i="7"/>
  <c r="N55" i="7" a="1"/>
  <c r="N55" i="7" s="1"/>
  <c r="Q2" i="13" a="1"/>
  <c r="Q2" i="13" s="1"/>
  <c r="Q3" i="13" s="1"/>
  <c r="P3" i="13"/>
  <c r="P2" i="13"/>
  <c r="B2" i="13" a="1"/>
  <c r="I2" i="13" a="1"/>
  <c r="I2" i="13" s="1"/>
  <c r="D14" i="21"/>
  <c r="D2" i="13"/>
  <c r="P4" i="13"/>
  <c r="B2" i="13" l="1"/>
  <c r="E2" i="13" s="1"/>
  <c r="C44" i="7" s="1" a="1"/>
  <c r="E49" i="10"/>
  <c r="C60" i="7" a="1"/>
  <c r="C16" i="7" a="1"/>
  <c r="C31" i="7" a="1"/>
  <c r="C27" i="18"/>
  <c r="F45" i="7" l="1" a="1"/>
  <c r="F45" i="7" s="1"/>
  <c r="C44" i="7"/>
  <c r="C16" i="7"/>
  <c r="L16" i="7" s="1" a="1"/>
  <c r="L16" i="7" s="1"/>
  <c r="C60" i="7"/>
  <c r="F60" i="7" s="1" a="1"/>
  <c r="F60" i="7" s="1"/>
  <c r="C31" i="7"/>
  <c r="D95" i="10"/>
  <c r="D93" i="10"/>
  <c r="L2" i="13" a="1"/>
  <c r="L2" i="13" s="1"/>
  <c r="L50" i="7" a="1"/>
  <c r="L50" i="7" s="1"/>
  <c r="L51" i="7" a="1"/>
  <c r="L51" i="7" s="1"/>
  <c r="L52" i="7" a="1"/>
  <c r="L52" i="7" s="1"/>
  <c r="L53" i="7" a="1"/>
  <c r="L53" i="7" s="1"/>
  <c r="L54" i="7" a="1"/>
  <c r="L54" i="7" s="1"/>
  <c r="N42" i="7" l="1" a="1"/>
  <c r="N42" i="7" s="1"/>
  <c r="C85" i="10" l="1"/>
  <c r="D8" i="19"/>
  <c r="D10" i="19" s="1"/>
  <c r="D11" i="19" s="1"/>
  <c r="D84" i="10" s="1"/>
  <c r="E84" i="10" s="1"/>
  <c r="D10" i="18"/>
  <c r="D8" i="18"/>
  <c r="D15" i="18"/>
  <c r="K2" i="13" a="1"/>
  <c r="K2" i="13" s="1"/>
  <c r="D35" i="21"/>
  <c r="D33" i="21"/>
  <c r="D15" i="21"/>
  <c r="I26" i="7" a="1"/>
  <c r="I26" i="7" s="1"/>
  <c r="C84" i="10"/>
  <c r="C83" i="10"/>
  <c r="Q26" i="7"/>
  <c r="Q29" i="7"/>
  <c r="Q39" i="7"/>
  <c r="Q42" i="7"/>
  <c r="Q52" i="7"/>
  <c r="Q53" i="7"/>
  <c r="Q54" i="7"/>
  <c r="Q55" i="7"/>
  <c r="Q58" i="7"/>
  <c r="D27" i="18"/>
  <c r="D29" i="18" s="1"/>
  <c r="D17" i="18"/>
  <c r="O50" i="7"/>
  <c r="Q50" i="7" s="1"/>
  <c r="O51" i="7"/>
  <c r="Q51" i="7" s="1"/>
  <c r="O65" i="7"/>
  <c r="Q65" i="7" s="1"/>
  <c r="O66" i="7"/>
  <c r="Q66" i="7" s="1"/>
  <c r="O67" i="7"/>
  <c r="Q67" i="7" s="1"/>
  <c r="D25" i="21" l="1"/>
  <c r="H2" i="13" a="1"/>
  <c r="H2" i="13" s="1"/>
  <c r="I25" i="7" a="1"/>
  <c r="I25" i="7" s="1"/>
  <c r="D12" i="19"/>
  <c r="D85" i="10" s="1"/>
  <c r="E85" i="10" s="1"/>
  <c r="D36" i="21"/>
  <c r="D24" i="21"/>
  <c r="D26" i="21" s="1"/>
  <c r="D83" i="10"/>
  <c r="E83" i="10" s="1"/>
  <c r="P42" i="7" a="1"/>
  <c r="P42" i="7" s="1"/>
  <c r="P39" i="7" a="1"/>
  <c r="P39" i="7" s="1"/>
  <c r="P38" i="7" a="1"/>
  <c r="P38" i="7" s="1"/>
  <c r="P29" i="7" a="1"/>
  <c r="P29" i="7" s="1"/>
  <c r="P26" i="7" a="1"/>
  <c r="P26" i="7" s="1"/>
  <c r="P25" i="7" a="1"/>
  <c r="P25" i="7" s="1"/>
  <c r="R54" i="7" a="1"/>
  <c r="R54" i="7" s="1"/>
  <c r="R53" i="7" a="1"/>
  <c r="R53" i="7" s="1"/>
  <c r="R52" i="7" a="1"/>
  <c r="R52" i="7" s="1"/>
  <c r="R42" i="7" a="1"/>
  <c r="R42" i="7" s="1"/>
  <c r="R39" i="7" a="1"/>
  <c r="R39" i="7" s="1"/>
  <c r="R38" i="7" a="1"/>
  <c r="R38" i="7" s="1"/>
  <c r="R29" i="7" a="1"/>
  <c r="R29" i="7" s="1"/>
  <c r="R26" i="7" a="1"/>
  <c r="R26" i="7" s="1"/>
  <c r="R25" i="7" a="1"/>
  <c r="R25" i="7" s="1"/>
  <c r="L58" i="7" a="1"/>
  <c r="L58" i="7" s="1"/>
  <c r="O58" i="7" s="1"/>
  <c r="L55" i="7" a="1"/>
  <c r="L55" i="7" s="1"/>
  <c r="O54" i="7"/>
  <c r="O53" i="7"/>
  <c r="O52" i="7"/>
  <c r="L42" i="7" a="1"/>
  <c r="L42" i="7" s="1"/>
  <c r="L39" i="7" a="1"/>
  <c r="L39" i="7" s="1"/>
  <c r="L38" i="7" a="1"/>
  <c r="L38" i="7" s="1"/>
  <c r="L29" i="7" a="1"/>
  <c r="L29" i="7" s="1"/>
  <c r="O29" i="7" s="1"/>
  <c r="L26" i="7" a="1"/>
  <c r="L26" i="7" s="1"/>
  <c r="L25" i="7" a="1"/>
  <c r="L25" i="7" s="1"/>
  <c r="I52" i="7" a="1"/>
  <c r="I52" i="7" s="1"/>
  <c r="I51" i="7" a="1"/>
  <c r="I51" i="7" s="1"/>
  <c r="I50" i="7" a="1"/>
  <c r="I50" i="7" s="1"/>
  <c r="I42" i="7" a="1"/>
  <c r="I42" i="7" s="1"/>
  <c r="I39" i="7" a="1"/>
  <c r="I39" i="7" s="1"/>
  <c r="I38" i="7" a="1"/>
  <c r="I38" i="7" s="1"/>
  <c r="I29" i="7" a="1"/>
  <c r="I29" i="7" s="1"/>
  <c r="F39" i="7" a="1"/>
  <c r="F39" i="7" s="1"/>
  <c r="G39" i="7" s="1" a="1"/>
  <c r="G39" i="7" s="1"/>
  <c r="F38" i="7" a="1"/>
  <c r="F38" i="7" s="1"/>
  <c r="F26" i="7" a="1"/>
  <c r="F26" i="7" s="1"/>
  <c r="F25" i="7" a="1"/>
  <c r="F25" i="7" s="1"/>
  <c r="G43" i="21" l="1"/>
  <c r="D45" i="21"/>
  <c r="E35" i="21"/>
  <c r="E33" i="21"/>
  <c r="D74" i="10"/>
  <c r="E74" i="10" s="1"/>
  <c r="D75" i="10"/>
  <c r="E75" i="10" s="1"/>
  <c r="O42" i="7"/>
  <c r="O26" i="7"/>
  <c r="O55" i="7"/>
  <c r="G2" i="13" a="1"/>
  <c r="A2" i="13" a="1"/>
  <c r="A2" i="13" s="1"/>
  <c r="E36" i="21" l="1"/>
  <c r="F75" i="10"/>
  <c r="G75" i="10" s="1"/>
  <c r="G2" i="13"/>
  <c r="E45" i="21"/>
  <c r="F74" i="10"/>
  <c r="G74" i="10" s="1"/>
  <c r="I31" i="7" a="1"/>
  <c r="I31" i="7" s="1"/>
  <c r="R61" i="7" a="1"/>
  <c r="R61" i="7" s="1"/>
  <c r="F2" i="13" a="1"/>
  <c r="L37" i="7" a="1"/>
  <c r="L37" i="7" s="1"/>
  <c r="P37" i="7" a="1"/>
  <c r="P37" i="7" s="1"/>
  <c r="I37" i="7" a="1"/>
  <c r="I37" i="7" s="1"/>
  <c r="R37" i="7" a="1"/>
  <c r="R37" i="7" s="1"/>
  <c r="F37" i="7" a="1"/>
  <c r="F37" i="7" s="1"/>
  <c r="N37" i="7" s="1" a="1"/>
  <c r="N25" i="7" a="1"/>
  <c r="N25" i="7" s="1"/>
  <c r="O25" i="7" s="1"/>
  <c r="N38" i="7" a="1"/>
  <c r="N38" i="7" s="1"/>
  <c r="D22" i="10"/>
  <c r="D9" i="22"/>
  <c r="D46" i="21"/>
  <c r="F2" i="13" l="1"/>
  <c r="F76" i="10"/>
  <c r="G76" i="10" s="1"/>
  <c r="D11" i="22"/>
  <c r="D13" i="22" s="1"/>
  <c r="E22" i="10"/>
  <c r="E46" i="21"/>
  <c r="I61" i="7" a="1"/>
  <c r="I61" i="7" s="1"/>
  <c r="P18" i="7" a="1"/>
  <c r="P18" i="7" s="1"/>
  <c r="L23" i="7" a="1"/>
  <c r="L23" i="7" s="1"/>
  <c r="F44" i="7" a="1"/>
  <c r="F44" i="7" s="1"/>
  <c r="P49" i="7" a="1"/>
  <c r="P49" i="7" s="1"/>
  <c r="P45" i="7" a="1"/>
  <c r="P45" i="7" s="1"/>
  <c r="P47" i="7" a="1"/>
  <c r="P47" i="7" s="1"/>
  <c r="I47" i="7" a="1"/>
  <c r="I47" i="7" s="1"/>
  <c r="I46" i="7" a="1"/>
  <c r="I46" i="7" s="1"/>
  <c r="R48" i="7" a="1"/>
  <c r="R48" i="7" s="1"/>
  <c r="F47" i="7" a="1"/>
  <c r="F47" i="7" s="1"/>
  <c r="L45" i="7" a="1"/>
  <c r="L45" i="7" s="1"/>
  <c r="P46" i="7" a="1"/>
  <c r="P46" i="7" s="1"/>
  <c r="R47" i="7" a="1"/>
  <c r="R47" i="7" s="1"/>
  <c r="L49" i="7" a="1"/>
  <c r="L49" i="7" s="1"/>
  <c r="I45" i="7" a="1"/>
  <c r="I45" i="7" s="1"/>
  <c r="P48" i="7" a="1"/>
  <c r="P48" i="7" s="1"/>
  <c r="R45" i="7" a="1"/>
  <c r="R45" i="7" s="1"/>
  <c r="P60" i="7" a="1"/>
  <c r="P60" i="7" s="1"/>
  <c r="L62" i="7" a="1"/>
  <c r="L62" i="7" s="1"/>
  <c r="F63" i="7" a="1"/>
  <c r="F63" i="7" s="1"/>
  <c r="F62" i="7" a="1"/>
  <c r="F62" i="7" s="1"/>
  <c r="I62" i="7" a="1"/>
  <c r="I62" i="7" s="1"/>
  <c r="F64" i="7" a="1"/>
  <c r="F64" i="7" s="1"/>
  <c r="I63" i="7" a="1"/>
  <c r="I63" i="7" s="1"/>
  <c r="P63" i="7" a="1"/>
  <c r="P63" i="7" s="1"/>
  <c r="P62" i="7" a="1"/>
  <c r="P62" i="7" s="1"/>
  <c r="L63" i="7" a="1"/>
  <c r="L63" i="7" s="1"/>
  <c r="R33" i="7" a="1"/>
  <c r="R33" i="7" s="1"/>
  <c r="L35" i="7" a="1"/>
  <c r="L35" i="7" s="1"/>
  <c r="F36" i="7" a="1"/>
  <c r="F36" i="7" s="1"/>
  <c r="P34" i="7" a="1"/>
  <c r="P34" i="7" s="1"/>
  <c r="I36" i="7" a="1"/>
  <c r="I36" i="7" s="1"/>
  <c r="P32" i="7" a="1"/>
  <c r="P32" i="7" s="1"/>
  <c r="P33" i="7" a="1"/>
  <c r="P33" i="7" s="1"/>
  <c r="I22" i="7" a="1"/>
  <c r="I22" i="7" s="1"/>
  <c r="R35" i="7" a="1"/>
  <c r="R35" i="7" s="1"/>
  <c r="F35" i="7" a="1"/>
  <c r="F35" i="7" s="1"/>
  <c r="R46" i="7" a="1"/>
  <c r="R46" i="7" s="1"/>
  <c r="I49" i="7" a="1"/>
  <c r="I49" i="7" s="1"/>
  <c r="F48" i="7" a="1"/>
  <c r="F48" i="7" s="1"/>
  <c r="R62" i="7" a="1"/>
  <c r="R62" i="7" s="1"/>
  <c r="R63" i="7" a="1"/>
  <c r="R63" i="7" s="1"/>
  <c r="I35" i="7" a="1"/>
  <c r="I35" i="7" s="1"/>
  <c r="F46" i="7" a="1"/>
  <c r="F46" i="7" s="1"/>
  <c r="I48" i="7" a="1"/>
  <c r="I48" i="7" s="1"/>
  <c r="F49" i="7" a="1"/>
  <c r="F49" i="7" s="1"/>
  <c r="F61" i="7" a="1"/>
  <c r="F61" i="7" s="1"/>
  <c r="I64" i="7" a="1"/>
  <c r="I64" i="7" s="1"/>
  <c r="P36" i="7" a="1"/>
  <c r="P36" i="7" s="1"/>
  <c r="I24" i="7" a="1"/>
  <c r="I24" i="7" s="1"/>
  <c r="L22" i="7" a="1"/>
  <c r="L22" i="7" s="1"/>
  <c r="F24" i="7" a="1"/>
  <c r="F24" i="7" s="1"/>
  <c r="P24" i="7" a="1"/>
  <c r="P24" i="7" s="1"/>
  <c r="S22" i="7" a="1"/>
  <c r="S22" i="7" s="1"/>
  <c r="R23" i="7" a="1"/>
  <c r="R23" i="7" s="1"/>
  <c r="L47" i="7" a="1"/>
  <c r="L47" i="7" s="1"/>
  <c r="L46" i="7" a="1"/>
  <c r="L46" i="7" s="1"/>
  <c r="P64" i="7" a="1"/>
  <c r="P64" i="7" s="1"/>
  <c r="P61" i="7" a="1"/>
  <c r="P61" i="7" s="1"/>
  <c r="F32" i="7" a="1"/>
  <c r="F32" i="7" s="1"/>
  <c r="L33" i="7" a="1"/>
  <c r="L33" i="7" s="1"/>
  <c r="R32" i="7" a="1"/>
  <c r="R32" i="7" s="1"/>
  <c r="F34" i="7" a="1"/>
  <c r="F34" i="7" s="1"/>
  <c r="L34" i="7" a="1"/>
  <c r="L34" i="7" s="1"/>
  <c r="R24" i="7" a="1"/>
  <c r="R24" i="7" s="1"/>
  <c r="I23" i="7" a="1"/>
  <c r="I23" i="7" s="1"/>
  <c r="F23" i="7" a="1"/>
  <c r="F23" i="7" s="1"/>
  <c r="F22" i="7" a="1"/>
  <c r="F22" i="7" s="1"/>
  <c r="L32" i="7" a="1"/>
  <c r="L32" i="7" s="1"/>
  <c r="I34" i="7" a="1"/>
  <c r="I34" i="7" s="1"/>
  <c r="R34" i="7" a="1"/>
  <c r="R34" i="7" s="1"/>
  <c r="P23" i="7" a="1"/>
  <c r="P23" i="7" s="1"/>
  <c r="R22" i="7" a="1"/>
  <c r="R22" i="7" s="1"/>
  <c r="I32" i="7" a="1"/>
  <c r="I32" i="7" s="1"/>
  <c r="L36" i="7" a="1"/>
  <c r="L36" i="7" s="1"/>
  <c r="F33" i="7" a="1"/>
  <c r="F33" i="7" s="1"/>
  <c r="L24" i="7" a="1"/>
  <c r="L24" i="7" s="1"/>
  <c r="P22" i="7" a="1"/>
  <c r="P22" i="7" s="1"/>
  <c r="R49" i="7" a="1"/>
  <c r="R49" i="7" s="1"/>
  <c r="L48" i="7" a="1"/>
  <c r="L48" i="7" s="1"/>
  <c r="L64" i="7" a="1"/>
  <c r="L64" i="7" s="1"/>
  <c r="L61" i="7" a="1"/>
  <c r="L61" i="7" s="1"/>
  <c r="R64" i="7" a="1"/>
  <c r="R64" i="7" s="1"/>
  <c r="P35" i="7" a="1"/>
  <c r="P35" i="7" s="1"/>
  <c r="R36" i="7" a="1"/>
  <c r="R36" i="7" s="1"/>
  <c r="I33" i="7" a="1"/>
  <c r="I33" i="7" s="1"/>
  <c r="T20" i="7" a="1"/>
  <c r="T20" i="7" s="1"/>
  <c r="I21" i="7" a="1"/>
  <c r="I21" i="7" s="1"/>
  <c r="R16" i="7" a="1"/>
  <c r="R16" i="7" s="1"/>
  <c r="L18" i="7" a="1"/>
  <c r="L18" i="7" s="1"/>
  <c r="S19" i="7" a="1"/>
  <c r="S19" i="7" s="1"/>
  <c r="F18" i="7" a="1"/>
  <c r="F18" i="7" s="1"/>
  <c r="R21" i="7" a="1"/>
  <c r="R21" i="7" s="1"/>
  <c r="I19" i="7" a="1"/>
  <c r="I19" i="7" s="1"/>
  <c r="L21" i="7" a="1"/>
  <c r="L21" i="7" s="1"/>
  <c r="R18" i="7" a="1"/>
  <c r="R18" i="7" s="1"/>
  <c r="S18" i="7" a="1"/>
  <c r="S18" i="7" s="1"/>
  <c r="T17" i="7" a="1"/>
  <c r="T17" i="7" s="1"/>
  <c r="F19" i="7" a="1"/>
  <c r="F19" i="7" s="1"/>
  <c r="F21" i="7" a="1"/>
  <c r="F21" i="7" s="1"/>
  <c r="R20" i="7" a="1"/>
  <c r="R20" i="7" s="1"/>
  <c r="P19" i="7" a="1"/>
  <c r="P19" i="7" s="1"/>
  <c r="S21" i="7" a="1"/>
  <c r="S21" i="7" s="1"/>
  <c r="T18" i="7" a="1"/>
  <c r="T18" i="7" s="1"/>
  <c r="R19" i="7" a="1"/>
  <c r="R19" i="7" s="1"/>
  <c r="L17" i="7" a="1"/>
  <c r="L17" i="7" s="1"/>
  <c r="I18" i="7" a="1"/>
  <c r="I18" i="7" s="1"/>
  <c r="F20" i="7" a="1"/>
  <c r="F20" i="7" s="1"/>
  <c r="L19" i="7" a="1"/>
  <c r="L19" i="7" s="1"/>
  <c r="T21" i="7" a="1"/>
  <c r="T21" i="7" s="1"/>
  <c r="P20" i="7" a="1"/>
  <c r="P20" i="7" s="1"/>
  <c r="F17" i="7" a="1"/>
  <c r="F17" i="7" s="1"/>
  <c r="S20" i="7" a="1"/>
  <c r="S20" i="7" s="1"/>
  <c r="I17" i="7" a="1"/>
  <c r="I17" i="7" s="1"/>
  <c r="T19" i="7" a="1"/>
  <c r="T19" i="7" s="1"/>
  <c r="R17" i="7" a="1"/>
  <c r="R17" i="7" s="1"/>
  <c r="I20" i="7" a="1"/>
  <c r="I20" i="7" s="1"/>
  <c r="S17" i="7" a="1"/>
  <c r="S17" i="7" s="1"/>
  <c r="L20" i="7" a="1"/>
  <c r="L20" i="7" s="1"/>
  <c r="P17" i="7" a="1"/>
  <c r="P17" i="7" s="1"/>
  <c r="P21" i="7" a="1"/>
  <c r="P21" i="7" s="1"/>
  <c r="N37" i="7"/>
  <c r="L31" i="7" a="1"/>
  <c r="L31" i="7" s="1"/>
  <c r="F31" i="7" a="1"/>
  <c r="F31" i="7" s="1"/>
  <c r="P31" i="7" a="1"/>
  <c r="P31" i="7" s="1"/>
  <c r="R31" i="7" a="1"/>
  <c r="R31" i="7" s="1"/>
  <c r="D11" i="18"/>
  <c r="D76" i="10"/>
  <c r="E76" i="10" s="1"/>
  <c r="D21" i="10"/>
  <c r="D8" i="22"/>
  <c r="N45" i="7" a="1"/>
  <c r="N31" i="7" a="1"/>
  <c r="N61" i="7" a="1"/>
  <c r="D10" i="22" l="1"/>
  <c r="D14" i="22" s="1"/>
  <c r="D94" i="10"/>
  <c r="D92" i="10"/>
  <c r="E92" i="10"/>
  <c r="D15" i="22"/>
  <c r="D96" i="10"/>
  <c r="E21" i="10"/>
  <c r="E23" i="10" s="1"/>
  <c r="P44" i="7" a="1"/>
  <c r="P44" i="7" s="1"/>
  <c r="L60" i="7" a="1"/>
  <c r="L60" i="7" s="1"/>
  <c r="L44" i="7" a="1"/>
  <c r="L44" i="7" s="1"/>
  <c r="R44" i="7" a="1"/>
  <c r="R44" i="7" s="1"/>
  <c r="I44" i="7" a="1"/>
  <c r="I44" i="7" s="1"/>
  <c r="I60" i="7" a="1"/>
  <c r="I60" i="7" s="1"/>
  <c r="R60" i="7" a="1"/>
  <c r="R60" i="7" s="1"/>
  <c r="P16" i="7" a="1"/>
  <c r="P16" i="7" s="1"/>
  <c r="F16" i="7" a="1"/>
  <c r="F16" i="7" s="1"/>
  <c r="I16" i="7" a="1"/>
  <c r="I16" i="7" s="1"/>
  <c r="N61" i="7"/>
  <c r="O61" i="7" s="1"/>
  <c r="Q61" i="7" s="1"/>
  <c r="N45" i="7"/>
  <c r="O45" i="7" s="1"/>
  <c r="Q45" i="7" s="1"/>
  <c r="T16" i="7" a="1"/>
  <c r="T16" i="7" s="1"/>
  <c r="S16" i="7" a="1"/>
  <c r="S16" i="7" s="1"/>
  <c r="N31" i="7"/>
  <c r="O31" i="7" s="1"/>
  <c r="Q31" i="7" s="1"/>
  <c r="D23" i="10"/>
  <c r="D12" i="18"/>
  <c r="D18" i="18"/>
  <c r="O37" i="7"/>
  <c r="Q37" i="7" s="1"/>
  <c r="O38" i="7"/>
  <c r="Q38" i="7" s="1"/>
  <c r="Q25" i="7"/>
  <c r="N46" i="7" a="1"/>
  <c r="N32" i="7" a="1"/>
  <c r="N48" i="7" a="1"/>
  <c r="N47" i="7" a="1"/>
  <c r="N62" i="7" a="1"/>
  <c r="N64" i="7" a="1"/>
  <c r="N36" i="7" a="1"/>
  <c r="N24" i="7" a="1"/>
  <c r="N22" i="7" a="1"/>
  <c r="N35" i="7" a="1"/>
  <c r="N34" i="7" a="1"/>
  <c r="N33" i="7" a="1"/>
  <c r="N63" i="7" a="1"/>
  <c r="N49" i="7" a="1"/>
  <c r="N23" i="7" a="1"/>
  <c r="N16" i="7" a="1"/>
  <c r="N44" i="7" a="1"/>
  <c r="N19" i="7" a="1"/>
  <c r="N20" i="7" a="1"/>
  <c r="N17" i="7" a="1"/>
  <c r="N18" i="7" a="1"/>
  <c r="N21" i="7" a="1"/>
  <c r="N46" i="7" l="1"/>
  <c r="O46" i="7" s="1"/>
  <c r="Q46" i="7" s="1"/>
  <c r="D12" i="22"/>
  <c r="Q4" i="13"/>
  <c r="F49" i="10"/>
  <c r="N34" i="7"/>
  <c r="O34" i="7" s="1"/>
  <c r="Q34" i="7" s="1"/>
  <c r="N23" i="7"/>
  <c r="O23" i="7" s="1"/>
  <c r="Q23" i="7" s="1"/>
  <c r="F77" i="10"/>
  <c r="G77" i="10" s="1"/>
  <c r="N47" i="7"/>
  <c r="O47" i="7" s="1"/>
  <c r="Q47" i="7" s="1"/>
  <c r="N64" i="7"/>
  <c r="O64" i="7" s="1"/>
  <c r="Q64" i="7" s="1"/>
  <c r="N48" i="7"/>
  <c r="O48" i="7" s="1"/>
  <c r="Q48" i="7" s="1"/>
  <c r="N62" i="7"/>
  <c r="O62" i="7" s="1"/>
  <c r="Q62" i="7" s="1"/>
  <c r="N35" i="7"/>
  <c r="O35" i="7" s="1"/>
  <c r="Q35" i="7" s="1"/>
  <c r="N63" i="7"/>
  <c r="O63" i="7" s="1"/>
  <c r="Q63" i="7" s="1"/>
  <c r="N24" i="7"/>
  <c r="O24" i="7" s="1"/>
  <c r="Q24" i="7" s="1"/>
  <c r="N32" i="7"/>
  <c r="O32" i="7" s="1"/>
  <c r="Q32" i="7" s="1"/>
  <c r="N22" i="7"/>
  <c r="O22" i="7" s="1"/>
  <c r="Q22" i="7" s="1"/>
  <c r="N33" i="7"/>
  <c r="O33" i="7" s="1"/>
  <c r="Q33" i="7" s="1"/>
  <c r="N36" i="7"/>
  <c r="O36" i="7" s="1"/>
  <c r="Q36" i="7" s="1"/>
  <c r="N49" i="7"/>
  <c r="O49" i="7" s="1"/>
  <c r="Q49" i="7" s="1"/>
  <c r="N16" i="7"/>
  <c r="O16" i="7" s="1"/>
  <c r="N44" i="7"/>
  <c r="O44" i="7" s="1"/>
  <c r="Q44" i="7" s="1"/>
  <c r="D24" i="10"/>
  <c r="D97" i="10"/>
  <c r="N21" i="7"/>
  <c r="O21" i="7" s="1"/>
  <c r="N18" i="7"/>
  <c r="O18" i="7" s="1"/>
  <c r="N17" i="7"/>
  <c r="O17" i="7" s="1"/>
  <c r="Q17" i="7" s="1"/>
  <c r="N19" i="7"/>
  <c r="O19" i="7" s="1"/>
  <c r="N20" i="7"/>
  <c r="O39" i="7" s="1"/>
  <c r="D19" i="18"/>
  <c r="D22" i="18" s="1"/>
  <c r="N60" i="7" a="1"/>
  <c r="O20" i="7" l="1"/>
  <c r="Q20" i="7" s="1"/>
  <c r="G45" i="10"/>
  <c r="H45" i="10" s="1"/>
  <c r="G46" i="10"/>
  <c r="D46" i="10"/>
  <c r="F46" i="10" s="1"/>
  <c r="D45" i="10"/>
  <c r="F45" i="10" s="1"/>
  <c r="N60" i="7"/>
  <c r="O60" i="7" s="1"/>
  <c r="D47" i="10" s="1"/>
  <c r="F47" i="10" s="1"/>
  <c r="Q18" i="7"/>
  <c r="Q21" i="7"/>
  <c r="Q19" i="7"/>
  <c r="Q16" i="7"/>
  <c r="D77" i="10"/>
  <c r="E77" i="10" s="1"/>
  <c r="D44" i="10" l="1"/>
  <c r="E46" i="10"/>
  <c r="Q60" i="7"/>
  <c r="G47" i="10" s="1"/>
  <c r="H47" i="10" s="1"/>
  <c r="G44" i="10"/>
  <c r="H46" i="10"/>
  <c r="E47" i="10"/>
  <c r="E45" i="10"/>
  <c r="D61" i="21" l="1"/>
  <c r="F44" i="10"/>
  <c r="E44" i="10"/>
  <c r="H44" i="10"/>
  <c r="D50" i="10" l="1"/>
  <c r="D51" i="10" s="1"/>
  <c r="F51" i="10" s="1"/>
  <c r="F48" i="10"/>
  <c r="E48" i="10"/>
  <c r="G48" i="10"/>
  <c r="H48" i="10" s="1"/>
  <c r="H50" i="10" s="1"/>
  <c r="H51" i="10" s="1"/>
  <c r="C86" i="10" l="1"/>
  <c r="G50" i="10"/>
  <c r="E50" i="10"/>
  <c r="E51" i="10" s="1"/>
  <c r="F50" i="10"/>
  <c r="G51" i="10" l="1"/>
  <c r="I51" i="10" s="1"/>
  <c r="I49" i="10"/>
  <c r="I46" i="10"/>
  <c r="I48" i="10"/>
  <c r="I44" i="10"/>
  <c r="I47" i="10"/>
  <c r="I45" i="10"/>
  <c r="I50"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<sst xmlns="http://schemas.openxmlformats.org/spreadsheetml/2006/main" count="1896" uniqueCount="816">
  <si>
    <t>Supported by</t>
  </si>
  <si>
    <t>English</t>
  </si>
  <si>
    <t>Français</t>
  </si>
  <si>
    <t>Simulation tool for Article 6 administrative fees and levies for national stakeholders</t>
  </si>
  <si>
    <t>Outil de simulation des frais et des prélèvements administratifs liés à l'Article 6 pour les parties prenantes nationales</t>
  </si>
  <si>
    <t>1. User Guide</t>
  </si>
  <si>
    <t>2. Definitions</t>
  </si>
  <si>
    <t>3. GovDashboard</t>
  </si>
  <si>
    <t>4. Inputs</t>
  </si>
  <si>
    <t>5. F&amp;L Calculations</t>
  </si>
  <si>
    <t>6. Gov operational costs</t>
  </si>
  <si>
    <t>7. Opporunity costs</t>
  </si>
  <si>
    <t>8. NDC contribution</t>
  </si>
  <si>
    <t>These sheets provide background information.</t>
  </si>
  <si>
    <t>This sheet provides project results.</t>
  </si>
  <si>
    <t>Step 1 
(Start here)</t>
  </si>
  <si>
    <t>Step 2
(Continue here)</t>
  </si>
  <si>
    <t>Optional</t>
  </si>
  <si>
    <t>Ces pages présentent un aperçu des directives.</t>
  </si>
  <si>
    <t>Cette page présente les résultats.</t>
  </si>
  <si>
    <t>Première étape 
(Commencez ici)</t>
  </si>
  <si>
    <t>Deuxième étape 
(Continuez ici)</t>
  </si>
  <si>
    <t>Facultatif</t>
  </si>
  <si>
    <t>Introduction</t>
  </si>
  <si>
    <t>How to use this tool</t>
  </si>
  <si>
    <t>Comment utiliser cet outil</t>
  </si>
  <si>
    <t>Navigation pane for the tool's sheets (read first)</t>
  </si>
  <si>
    <t>Panneau de navigation (à lire en premier)</t>
  </si>
  <si>
    <t>1. User guide</t>
  </si>
  <si>
    <t>1. User guide (Guide utilisateur)</t>
  </si>
  <si>
    <r>
      <rPr>
        <b/>
        <sz val="11"/>
        <color theme="1"/>
        <rFont val="Arial"/>
        <family val="2"/>
      </rPr>
      <t>Purpose</t>
    </r>
    <r>
      <rPr>
        <sz val="11"/>
        <color theme="1"/>
        <rFont val="Arial"/>
        <family val="2"/>
      </rPr>
      <t xml:space="preserve">: Provides the introduction, quick navigation, scope and disclaimers. </t>
    </r>
  </si>
  <si>
    <r>
      <rPr>
        <b/>
        <sz val="11"/>
        <color theme="1"/>
        <rFont val="Arial"/>
        <family val="2"/>
      </rPr>
      <t xml:space="preserve">Objectif </t>
    </r>
    <r>
      <rPr>
        <sz val="11"/>
        <color theme="1"/>
        <rFont val="Arial"/>
        <family val="2"/>
      </rPr>
      <t>: Présente l'introduction, la navigation, et les avertissements.</t>
    </r>
  </si>
  <si>
    <r>
      <rPr>
        <b/>
        <sz val="11"/>
        <color theme="1"/>
        <rFont val="Arial"/>
        <family val="2"/>
      </rPr>
      <t>User action</t>
    </r>
    <r>
      <rPr>
        <sz val="11"/>
        <color theme="1"/>
        <rFont val="Arial"/>
        <family val="2"/>
      </rPr>
      <t>: Read only</t>
    </r>
  </si>
  <si>
    <r>
      <rPr>
        <b/>
        <sz val="11"/>
        <color theme="1"/>
        <rFont val="Arial"/>
        <family val="2"/>
      </rPr>
      <t xml:space="preserve">Action pour l'utilisateur : </t>
    </r>
    <r>
      <rPr>
        <sz val="11"/>
        <color theme="1"/>
        <rFont val="Arial"/>
        <family val="2"/>
      </rPr>
      <t>Lecture uniquement</t>
    </r>
  </si>
  <si>
    <r>
      <rPr>
        <b/>
        <sz val="11"/>
        <color theme="1"/>
        <rFont val="Arial"/>
        <family val="2"/>
      </rPr>
      <t>Purpose</t>
    </r>
    <r>
      <rPr>
        <sz val="11"/>
        <color theme="1"/>
        <rFont val="Arial"/>
        <family val="2"/>
      </rPr>
      <t>: Explains what the tool means by key terms such as administrative fees, levies, in-kind deductions, benefit-sharing/benefit shared with communities, etc. A compendium further explaining definitions and terms accompanies this tool. The compendium provides additional information on the applicability, modality, timing of fees and levies including examples of applications in host countries.</t>
    </r>
  </si>
  <si>
    <r>
      <t xml:space="preserve">Objectif : </t>
    </r>
    <r>
      <rPr>
        <sz val="11"/>
        <color theme="1"/>
        <rFont val="Arial"/>
        <family val="2"/>
      </rPr>
      <t>Explique les termes utilisés (frais administratifs, prélèvements, partage des bénéfices, etc.).
Un document complémentaire est joint pour détailler ces notions, leur application et des exemples dans différents pays.</t>
    </r>
  </si>
  <si>
    <r>
      <rPr>
        <b/>
        <sz val="11"/>
        <color theme="1"/>
        <rFont val="Arial"/>
        <family val="2"/>
      </rPr>
      <t>User action</t>
    </r>
    <r>
      <rPr>
        <sz val="11"/>
        <color theme="1"/>
        <rFont val="Arial"/>
        <family val="2"/>
      </rPr>
      <t>: Read only; use as a reference while interpreting outputs.</t>
    </r>
  </si>
  <si>
    <r>
      <rPr>
        <b/>
        <sz val="11"/>
        <color theme="1"/>
        <rFont val="Arial"/>
        <family val="2"/>
      </rPr>
      <t>Action pour l'utilisateur</t>
    </r>
    <r>
      <rPr>
        <sz val="11"/>
        <color theme="1"/>
        <rFont val="Arial"/>
        <family val="2"/>
      </rPr>
      <t xml:space="preserve"> : Lecture uniquement ; à utiliser comme référence</t>
    </r>
  </si>
  <si>
    <t>3. Gov Dashboard : Tableau de bord gouvernemental (Résultats)</t>
  </si>
  <si>
    <r>
      <rPr>
        <b/>
        <sz val="11"/>
        <color theme="1"/>
        <rFont val="Arial"/>
        <family val="2"/>
      </rPr>
      <t>Purpose</t>
    </r>
    <r>
      <rPr>
        <sz val="11"/>
        <color theme="1"/>
        <rFont val="Arial"/>
        <family val="2"/>
      </rPr>
      <t>: Presents government-facing results as a structured summary</t>
    </r>
  </si>
  <si>
    <r>
      <rPr>
        <b/>
        <sz val="11"/>
        <color theme="1"/>
        <rFont val="Arial"/>
        <family val="2"/>
      </rPr>
      <t xml:space="preserve">Objectif </t>
    </r>
    <r>
      <rPr>
        <sz val="11"/>
        <color theme="1"/>
        <rFont val="Arial"/>
        <family val="2"/>
      </rPr>
      <t>: Présente une synthèse des résultats pour le gouvernement</t>
    </r>
  </si>
  <si>
    <r>
      <rPr>
        <b/>
        <sz val="11"/>
        <color theme="1"/>
        <rFont val="Arial"/>
        <family val="2"/>
      </rPr>
      <t xml:space="preserve">Action pour l'utilisateur </t>
    </r>
    <r>
      <rPr>
        <sz val="11"/>
        <color theme="1"/>
        <rFont val="Arial"/>
        <family val="2"/>
      </rPr>
      <t>: Lecture uniquement</t>
    </r>
  </si>
  <si>
    <t>Government cash revenue (USD, local currency, and % of gross revenue), split into:</t>
  </si>
  <si>
    <t>Recettes publiques (USD, devise locale, et % des revenus bruts), incluant :</t>
  </si>
  <si>
    <t>- Administrative fees (e.g., fees for letters of authorization, letters of entity authorization, mitigation activity participant fee)</t>
  </si>
  <si>
    <t>- Frais administratifs (ex. Lettres d'autorisation, autorisation d'entités, frais de participation)</t>
  </si>
  <si>
    <t>- Frais liés à la gestion des crédits autorisés</t>
  </si>
  <si>
    <t>- Frais liés à la gestion des crédits non autorisés</t>
  </si>
  <si>
    <t>- Taxes/levies on revenues</t>
  </si>
  <si>
    <t>- Taxes et prélèvements sur les revenus</t>
  </si>
  <si>
    <t>- Community-related costs (if modelled)</t>
  </si>
  <si>
    <t>- Coûts liés aux communautés (si pris en compte)</t>
  </si>
  <si>
    <t>Withheld/cancelled credits by government (SOP, OMGE, buffers, etc.)</t>
  </si>
  <si>
    <t>Crédits retenus ou annulés par le gouvernement (SOP, OMGE, buffer/réserves, etc.)</t>
  </si>
  <si>
    <t>NDC contribution indicators (if NDC section is completed)</t>
  </si>
  <si>
    <t>Indicateurs de contribution à la CDN (si renseignés)</t>
  </si>
  <si>
    <t>Links to operational cost lines (if used)</t>
  </si>
  <si>
    <t>Liens vers les coûts opérationnels (le cas échéant)</t>
  </si>
  <si>
    <t>4. Inputs sheet (Feuilles des inptus) : Point d'entrée principal à l'utilisateur</t>
  </si>
  <si>
    <r>
      <rPr>
        <b/>
        <sz val="11"/>
        <color theme="1"/>
        <rFont val="Arial"/>
        <family val="2"/>
      </rPr>
      <t xml:space="preserve">Objectif </t>
    </r>
    <r>
      <rPr>
        <sz val="11"/>
        <color theme="1"/>
        <rFont val="Arial"/>
        <family val="2"/>
      </rPr>
      <t xml:space="preserve">: définir le scénario (pays, type de projet, volumes, prix, hypothèses liées à la CDN, paramètres politiques (ex., SOP, OMGE, buffer/réserves, devises). Les explications sont écrites en </t>
    </r>
    <r>
      <rPr>
        <sz val="11"/>
        <color theme="6" tint="-0.249977111117893"/>
        <rFont val="Arial"/>
        <family val="2"/>
      </rPr>
      <t>bleue</t>
    </r>
    <r>
      <rPr>
        <sz val="11"/>
        <color theme="1"/>
        <rFont val="Arial"/>
        <family val="2"/>
      </rPr>
      <t>.</t>
    </r>
  </si>
  <si>
    <r>
      <rPr>
        <b/>
        <sz val="11"/>
        <color theme="1"/>
        <rFont val="Arial"/>
        <family val="2"/>
      </rPr>
      <t xml:space="preserve">Action pour l'utilisateur </t>
    </r>
    <r>
      <rPr>
        <sz val="11"/>
        <color theme="1"/>
        <rFont val="Arial"/>
        <family val="2"/>
      </rPr>
      <t>: Obligatoire</t>
    </r>
  </si>
  <si>
    <t>What you do here (orange cells, in order):</t>
  </si>
  <si>
    <r>
      <t xml:space="preserve">- Select country (Test Country / Ghana / Kenya / Malaysia / Zimbabwe). </t>
    </r>
    <r>
      <rPr>
        <b/>
        <sz val="11"/>
        <color theme="1"/>
        <rFont val="Arial"/>
        <family val="2"/>
      </rPr>
      <t>Selecting 'Test Country' allows you to test dummy projects.</t>
    </r>
  </si>
  <si>
    <r>
      <t xml:space="preserve">- Sélectioner le pays [Country] (Test Country / Ghana / Kenya / Malaysia / Zimbabwe). </t>
    </r>
    <r>
      <rPr>
        <b/>
        <sz val="11"/>
        <color theme="1"/>
        <rFont val="Arial"/>
        <family val="2"/>
      </rPr>
      <t>Sélectionner « Test Country » vous permet de tester des projets fictifs.</t>
    </r>
  </si>
  <si>
    <t>- Select project type and activity category</t>
  </si>
  <si>
    <t>- Sélectionner le type de projet [project type] (Forestry / Non-Forestry) et la catégorie [Activity category]</t>
  </si>
  <si>
    <t>- Enter project duration, start year and total credits</t>
  </si>
  <si>
    <t>- Ajouter la durée du projet, l'année de début du projet, et le volume total de crédits</t>
  </si>
  <si>
    <t>- Enter price communicated by the project developer or the assumptions on i) average non-authorized price (market/VCM price assumption for credits not authorized as ITMOs) and ii) average ITMO price (price assumption for authorized credits / ITMOs, if applicable)</t>
  </si>
  <si>
    <t>- Indiquer le prix communiqué par le développeur sur i) le prix moyen des crédits non autorisés (c'est le prix du marché/MVC pour les crédits non autorisés comme ITMOs) et ii) le prix moyen d'un crédit autorisé/ITMO (le cas échéant)</t>
  </si>
  <si>
    <t>- NDC section: Indicate whether the sector/project is covered by the NDC. Enter target year and approved crediting years within current NDC (if relevant)</t>
  </si>
  <si>
    <t>- Section CDN : Indiquer si le secteur et inclus dans la CDN, l'année cible et les années de crédit qui sont comprises dans la période de la CDN (le cas échéant)</t>
  </si>
  <si>
    <t>- Authorization input: Insert the absolute amount or percentage of credits authorized</t>
  </si>
  <si>
    <t>- Authorisation : indiquer le nombre (valeur absolue) ou le pourcentage de crédits autorisés</t>
  </si>
  <si>
    <t>- Policy parameters: Insert the percentage of SOP, OMGE, buffers (authorized/non-authorized)</t>
  </si>
  <si>
    <t>- Paramètres politiques : Inclure le pourcentage SOP, OMGE, réserves (crédits autorisés / non autorisés)</t>
  </si>
  <si>
    <t>- Insert the FX rate (local currency per 1 USD): used for local-currency reporting on the Gov Dashboard.</t>
  </si>
  <si>
    <t>- Inclure le taux de change (devise locale pour 1 USD)</t>
  </si>
  <si>
    <t>5. Fees &amp; Levies Calculations sheet</t>
  </si>
  <si>
    <t>5. Fees &amp; Levies Calculations sheet (Feuille "calcul des frais et prélèvements")</t>
  </si>
  <si>
    <r>
      <rPr>
        <b/>
        <sz val="11"/>
        <color theme="1"/>
        <rFont val="Arial"/>
        <family val="2"/>
      </rPr>
      <t>Purpose</t>
    </r>
    <r>
      <rPr>
        <sz val="11"/>
        <color theme="1"/>
        <rFont val="Arial"/>
        <family val="2"/>
      </rPr>
      <t>: Provides an overview of the administrative costs and levies per selected country selected or 'Test country' trials including inputs to customize fees and levies to fit any country context. This sheet pulls values from existing data for Ghana / Kenya / Malaysia /Zimbabwe. If your country is not mentioned, select 'test country' under Country in the input sheet (cell C4)</t>
    </r>
  </si>
  <si>
    <r>
      <rPr>
        <b/>
        <sz val="11"/>
        <color theme="1"/>
        <rFont val="Arial"/>
        <family val="2"/>
      </rPr>
      <t xml:space="preserve">Objectif </t>
    </r>
    <r>
      <rPr>
        <sz val="11"/>
        <color theme="1"/>
        <rFont val="Arial"/>
        <family val="2"/>
      </rPr>
      <t xml:space="preserve">: Fournit une vue d’ensemble des coûts administratifs et des prélèvements pour le pays sélectionné ou pour des essais « pays test », y compris les entrées permettant de personnaliser les frais et prélèvements afin de les adapter à tout contexte national.
Cette feuille reprend les valeurs existantes pour le Ghana, le Kenya, la Malaisie et le Zimbabwe. </t>
    </r>
    <r>
      <rPr>
        <b/>
        <sz val="11"/>
        <color theme="1"/>
        <rFont val="Arial"/>
        <family val="2"/>
      </rPr>
      <t>Si votre pays n’est pas mentionné, sélectionnez « test country » dans la feuille des données d’entrée (cellule C4)</t>
    </r>
    <r>
      <rPr>
        <sz val="11"/>
        <color theme="1"/>
        <rFont val="Arial"/>
        <family val="2"/>
      </rPr>
      <t>.</t>
    </r>
  </si>
  <si>
    <r>
      <rPr>
        <b/>
        <sz val="11"/>
        <color theme="1"/>
        <rFont val="Arial"/>
        <family val="2"/>
      </rPr>
      <t>User action</t>
    </r>
    <r>
      <rPr>
        <sz val="11"/>
        <color theme="1"/>
        <rFont val="Arial"/>
        <family val="2"/>
      </rPr>
      <t>: Required if test country is selected. You manually enter fee values to test custom fee scenarios.</t>
    </r>
  </si>
  <si>
    <r>
      <rPr>
        <b/>
        <sz val="11"/>
        <color theme="1"/>
        <rFont val="Arial"/>
        <family val="2"/>
      </rPr>
      <t xml:space="preserve">Action pour l'utilisateur </t>
    </r>
    <r>
      <rPr>
        <sz val="11"/>
        <color theme="1"/>
        <rFont val="Arial"/>
        <family val="2"/>
      </rPr>
      <t>: Requise si un pays test est sélectionné. Vous saisissez manuellement les valeurs des frais afin de tester des scénarios personnalisés.</t>
    </r>
  </si>
  <si>
    <t>Important: Fee source selector (Preset for Ghana / Kenya / Malaysia / Zimbabwe or User input for any other country)</t>
  </si>
  <si>
    <r>
      <rPr>
        <b/>
        <sz val="11"/>
        <color theme="1"/>
        <rFont val="Arial"/>
        <family val="2"/>
      </rPr>
      <t xml:space="preserve">Important </t>
    </r>
    <r>
      <rPr>
        <sz val="11"/>
        <color theme="1"/>
        <rFont val="Arial"/>
        <family val="2"/>
      </rPr>
      <t>: Sélecteur de source des frais (préréglages pour le Ghana / Kenya / Malaisie / Zimbabwe ou saisie utilisateur pour tout autre pays)</t>
    </r>
  </si>
  <si>
    <t>- Include custom fees (name, cost, fee) per category (administrative fees, authorisation fees, levies[tax on total revenues], benefits to communities)</t>
  </si>
  <si>
    <t>- Inclure des frais personnalisés (nom/fee name, coût(le cas échéant), montant) par catégorie : frais administratifs, frais d’autorisation, prélèvements (taxes sur les recettes totales), bénéfices aux communautés.</t>
  </si>
  <si>
    <t>6. Gov operational costs (coûts opérationnels gouvernementaux)</t>
  </si>
  <si>
    <r>
      <rPr>
        <b/>
        <sz val="11"/>
        <color theme="1"/>
        <rFont val="Arial"/>
        <family val="2"/>
      </rPr>
      <t>Purpose</t>
    </r>
    <r>
      <rPr>
        <sz val="11"/>
        <color theme="1"/>
        <rFont val="Arial"/>
        <family val="2"/>
      </rPr>
      <t>: This sheet captures the government’s annual operational costs associated with administering and overseeing carbon market activities. It allows governments to estimate fixed and recurring operational costs related to performing the functions of the carbon market, such as office costs, staffing, and other administrative expenses. These costs are independent of project‑specific fees and levies and should not be double counted with costs already included in the Fees &amp; Levies Calculations sheet. It includes:</t>
    </r>
  </si>
  <si>
    <r>
      <rPr>
        <b/>
        <sz val="11"/>
        <color theme="1"/>
        <rFont val="Arial"/>
        <family val="2"/>
      </rPr>
      <t xml:space="preserve">Objectif </t>
    </r>
    <r>
      <rPr>
        <sz val="11"/>
        <color theme="1"/>
        <rFont val="Arial"/>
        <family val="2"/>
      </rPr>
      <t>: Cette feuille permet aux gouvernements d’estimer les dépenses opérationnelles récurrentes associées à la gestion de la fonction de marché du carbone, telles que les coûts de bureau, les ressources humaines et autres frais administratifs. Ces coûts sont indépendants des frais et prélèvements spécifiques aux projets et ne doivent pas être comptabilisés deux fois avec les coûts déjà inclus dans la feuille « Calcul des frais et prélèvements ». Les résultats sont agrégés et repris dans le Tableau de bord gouvernemental afin d’évaluer les recettes publiques nettes.</t>
    </r>
  </si>
  <si>
    <r>
      <t xml:space="preserve">User action: </t>
    </r>
    <r>
      <rPr>
        <sz val="11"/>
        <color theme="1"/>
        <rFont val="Arial"/>
        <family val="2"/>
      </rPr>
      <t>Optional</t>
    </r>
  </si>
  <si>
    <r>
      <rPr>
        <b/>
        <sz val="11"/>
        <color theme="1"/>
        <rFont val="Arial"/>
        <family val="2"/>
      </rPr>
      <t>Action pour l'utilisateur</t>
    </r>
    <r>
      <rPr>
        <sz val="11"/>
        <color theme="1"/>
        <rFont val="Arial"/>
        <family val="2"/>
      </rPr>
      <t>: Optionnel</t>
    </r>
  </si>
  <si>
    <t>- Annual government office costs</t>
  </si>
  <si>
    <t>- Coûts annuels des bureaux gouvernementaux</t>
  </si>
  <si>
    <t>- Annual additional operational costs</t>
  </si>
  <si>
    <t>- Autres coûts opérationnels annuels</t>
  </si>
  <si>
    <t>7. Opportunity costs</t>
  </si>
  <si>
    <t>7. Opportunity costs (Coûts d'opportunité)</t>
  </si>
  <si>
    <r>
      <rPr>
        <b/>
        <sz val="11"/>
        <color theme="1"/>
        <rFont val="Arial"/>
        <family val="2"/>
      </rPr>
      <t>Purpose</t>
    </r>
    <r>
      <rPr>
        <sz val="11"/>
        <color theme="1"/>
        <rFont val="Arial"/>
        <family val="2"/>
      </rPr>
      <t>: To illustrate the potential revenue trade‑offs associated with timing, pricing assumptions, and authorization decisions. This sheet provides an indicative assessment of opportunity costs by comparing current price assumptions with alternative price trajectories over time. It allows governments to explore how changes in assumed prices for authorized credits (ITMOs) and non‑authorized credits may affect total revenues.
The results are illustrative only and are intended to support strategic thinking rather than predict market outcomes.</t>
    </r>
  </si>
  <si>
    <r>
      <rPr>
        <b/>
        <sz val="11"/>
        <color theme="1"/>
        <rFont val="Arial"/>
        <family val="2"/>
      </rPr>
      <t xml:space="preserve">Objectif </t>
    </r>
    <r>
      <rPr>
        <sz val="11"/>
        <color theme="1"/>
        <rFont val="Arial"/>
        <family val="2"/>
      </rPr>
      <t>: Cette feuille fournit une estimation indicative des coûts d’opportunité en comparant les hypothèses de prix actuelles à des trajectoires de prix alternatives dans le temps. Elle permet aux gouvernements d’analyser comment des variations des prix supposés pour les crédits autorisés (ITMO) et non autorisés peuvent affecter les recettes totales.
Les résultats sont purement illustratifs et visent à soutenir la réflexion stratégique, sans prétendre prédire l’évolution réelle des marchés.</t>
    </r>
  </si>
  <si>
    <t>Organe inputs include:</t>
  </si>
  <si>
    <t xml:space="preserve"> Les entrées de la feuille incluent :</t>
  </si>
  <si>
    <t>- Assumed average authorized/non-authorized price growth over time (in percentage)</t>
  </si>
  <si>
    <t>- Hypothèse de croissance moyenne du prix des crédits autorisés et non-autorisés au cours d'une période (en pourcentage)</t>
  </si>
  <si>
    <t>- Optional additional opportunity cost line</t>
  </si>
  <si>
    <t>- Ligne optionnelle de coût d'opportunité supplémentaire</t>
  </si>
  <si>
    <t>8. NDC contribution (Contribution aux CDN)</t>
  </si>
  <si>
    <r>
      <rPr>
        <b/>
        <sz val="11"/>
        <color theme="1"/>
        <rFont val="Arial"/>
        <family val="2"/>
      </rPr>
      <t>Purpose</t>
    </r>
    <r>
      <rPr>
        <sz val="11"/>
        <color theme="1"/>
        <rFont val="Arial"/>
        <family val="2"/>
      </rPr>
      <t>: To show how a project contributes to national and sectoral NDC targets. This sheet estimates the contribution of the project’s authorized and non‑authorized credits to national and sectoral NDC targets. Users enter their NDC targets for the relevant period, and the tool calculates the share of those targets that may be met through the project.</t>
    </r>
  </si>
  <si>
    <r>
      <rPr>
        <b/>
        <sz val="11"/>
        <color theme="1"/>
        <rFont val="Arial"/>
        <family val="2"/>
      </rPr>
      <t xml:space="preserve">Objectif </t>
    </r>
    <r>
      <rPr>
        <sz val="11"/>
        <color theme="1"/>
        <rFont val="Arial"/>
        <family val="2"/>
      </rPr>
      <t>: Montrer comment un projet contribue aux objectifs nationaux et sectoriels de la Contribution Déterminée au niveau National (CDN). Cette feuille estime la contribution des crédits autorisés et non autorisés du projet aux objectifs nationaux et sectoriels de la CDN. Les utilisateurs renseignent leurs objectifs de CDN pour la période concernée, et l’outil calcule la part de ces objectifs pouvant être atteinte grâce au projet.</t>
    </r>
  </si>
  <si>
    <t>- Fill in your national and sectoral NDC targets in this sheet to view the outcome in the 3. Government Dashboard as well</t>
  </si>
  <si>
    <t>- Renseignez vos objectifs nationaux et sectoriels de CDN dans cette feuille afin de visualiser également les résultats dans le tableau de bord gouvernemental (section 3 Gov Dashboard).</t>
  </si>
  <si>
    <t>These sheets provide indicative estimates for analytical and decision‑support purposes only and do not replace official accounting, budgeting, or NDC reporting processes.</t>
  </si>
  <si>
    <t>Definitions</t>
  </si>
  <si>
    <t>Définitions</t>
  </si>
  <si>
    <t>Term</t>
  </si>
  <si>
    <t>Definition</t>
  </si>
  <si>
    <t>Termes</t>
  </si>
  <si>
    <t>Définition</t>
  </si>
  <si>
    <t>Administrative fee</t>
  </si>
  <si>
    <t>A fee charged by a public authority to recover costs incurred in processing applications, issuing approvals, or administering and regulating activities.</t>
  </si>
  <si>
    <t>Frais administratifs</t>
  </si>
  <si>
    <t>Frais incluses par une autorité publique afin de recouvrir les coûts pour le traitement des demandes, les approbations ou autorisations ou l’administration et la régulation des activités.</t>
  </si>
  <si>
    <t xml:space="preserve">Article 6.2 Guidance </t>
  </si>
  <si>
    <t>The “Guidance on cooperative approaches referred to in Article 6, paragraph 2, of the Paris Agreement” set out in Decision 2/CMA.3 and subsequent relevant decisions of the CMA.</t>
  </si>
  <si>
    <t>Orientations relatives à l’Article 6.2</t>
  </si>
  <si>
    <t>Les « Orientations relatives aux approches coopératives visées au paragraphe 2 de l’Article 6 de l’Accord de Paris », telles qu’énoncées dans la décision 2/CMA.3 et les décisions ultérieures pertinentes de la CMA.</t>
  </si>
  <si>
    <t>Article 6.4 rules, modalities and procedures (RMP)</t>
  </si>
  <si>
    <t>The "Rules, modalities and procedures for the mechanism established by Article 6 paragraph 4 of the Paris Agreement" set out in Decision 3/CMA.3 and subsequent relevant decisions of the CMA.</t>
  </si>
  <si>
    <t>Règles, modalités et procédures (RMP) de l’Article 6.4</t>
  </si>
  <si>
    <t>Les « Règles, modalités et procédures applicables au mécanisme établi au paragraphe 4 de l’Article 6 de l’Accord de Paris », telles qu’énoncées dans la décision 3/CMA.3 et les décisions ultérieures pertinentes de la CMA.</t>
  </si>
  <si>
    <t>Authorization of carbon credits or mitigation outcomes</t>
  </si>
  <si>
    <t>A (formal) statement issued by the government of a host country approving the international transfer and use of carbon credits or mitigation outcomes generated within its jurisdiction. Such authorization specifies the intended use (e.g., towards another country’s NDC, other international mitigation purposes such as CORSIA, or voluntary carbon market claims) and confirms that the host country will apply any required corresponding adjustments in accordance with Article 6 guidance.</t>
  </si>
  <si>
    <t>Autorisation de crédits carbone ou de résultats d’atténuation</t>
  </si>
  <si>
    <t>Déclaration (formelle) émise par le gouvernement du pays hôte approuvant le transfert international et l’utilisation de crédits carbone ou de résultats d’atténuation générés sur son territoire. Cette autorisation précise l’usage prévu (par exemple, contribution à la CDN d’un autre pays, autres fins internationales d’atténuation telles que le CORSIA, ou revendications sur le marché volontaire du carbone) et confirme que le pays hôte appliquera les ajustements correspondants requis conformément aux orientations de l’Article 6.</t>
  </si>
  <si>
    <t>Authorization of entity</t>
  </si>
  <si>
    <t>A formal statement issued by the government of a host country enabling a public or private entity to participate in Article 6.2 cooperative approaches in accordance with the Article 6.2 Guidance; or a formal statement issued by the government of a host country authorizing a public or private entity to participate in an Article 6.4 activity.</t>
  </si>
  <si>
    <t>Autorisation d’une entité</t>
  </si>
  <si>
    <t>Déclaration formelle émise par le gouvernement d’un pays hôte autorisant une entité publique ou privée à participer aux approches coopératives au titre de l’Article 6.2 conformément aux orientations de l’Article 6.2, ou autorisant une entité publique ou privée à participer à une activité relevant de l’Article 6.4.</t>
  </si>
  <si>
    <t>Baseline scenario</t>
  </si>
  <si>
    <t>The reference case representing the emissions that would occur in the absence of the mitigation activity.</t>
  </si>
  <si>
    <t>Scénario de référence</t>
  </si>
  <si>
    <t>Benefit-sharing arrangement</t>
  </si>
  <si>
    <t>A set of rules, mechanisms, or institutional arrangements that define how monetary and non-monetary benefits generated from an activity are distributed among relevant stakeholders, including governments, implementing entities, and affected communities.</t>
  </si>
  <si>
    <t>Mécanisme de partage des bénéfices</t>
  </si>
  <si>
    <t>Ensemble de règles, mécanismes ou dispositifs institutionnels définissant la manière dont les bénéfices monétaires et non monétaires générés par une activité sont répartis entre les parties prenantes concernées, notamment les gouvernements, les entités de mise en œuvre et les communautés affectées.</t>
  </si>
  <si>
    <t>Buffer pool (or buffer reserve)</t>
  </si>
  <si>
    <t>A quantity of carbon credits set aside and not sold or transferred in order to manage risks such as reversal of emissions reductions, non-permanence, or project underperformance.</t>
  </si>
  <si>
    <t>Réserve tampon</t>
  </si>
  <si>
    <t>Quantité de crédits carbone mise de côté et non vendue ou transférée afin de gérer des risques tels que l’inversion des réductions d’émissions, la non‑permanence ou la sous‑performance des projets.</t>
  </si>
  <si>
    <t xml:space="preserve">Buffer pool (or buffer reserve) NDC </t>
  </si>
  <si>
    <t>A share of authorized carbon credits set aside (and not transferred or sold) to help meet the host country’s NDC. Example: Ghana withholds a 1% NDC buffer from authorized credits (ITMOs) .</t>
  </si>
  <si>
    <t>Réserve tampon (CDN)</t>
  </si>
  <si>
    <t>Part des crédits carbone autorisés mise en réserve (et non vendue ni transférée) pour contribuer à l’atteinte de la CDN du pays hôte et gérer des risques tels que la sous‑performance ou la non‑permanence. Exemple : le Ghana retient une réserve tampon de 1 % CDN sur les crédits autorisés (ITMOs).</t>
  </si>
  <si>
    <t>Buffer pool (or buffer reserve) Non-permanence</t>
  </si>
  <si>
    <t>A share of carbon credits set aside (and not sold or transferred) specifically to cover non‑permanence risks (e.g., reversal of emission reductions/removals, natural disturbances, or underperformance). If a reversal occurs, credits from this buffer are cancelled/retired to compensate for the loss.</t>
  </si>
  <si>
    <t>Réserve tampon (non‑permanence)</t>
  </si>
  <si>
    <t>Part des crédits carbone mise en réserve (et non vendue ni transférée) spécifiquement pour couvrir les risques de non‑permanence (p. ex. inversion des réductions/absorptions, aléas naturels ou sous‑performance). En cas d’inversion, des crédits de cette réserve sont annulés/retirés afin de compenser la perte.</t>
  </si>
  <si>
    <t>Carbon credit or mitigation outcome</t>
  </si>
  <si>
    <r>
      <t>A unit equivalent to one (1) metric tonne of carbon dioxide equivalent (CO</t>
    </r>
    <r>
      <rPr>
        <vertAlign val="subscript"/>
        <sz val="11"/>
        <color theme="1"/>
        <rFont val="Arial"/>
        <family val="2"/>
      </rPr>
      <t>2</t>
    </r>
    <r>
      <rPr>
        <sz val="11"/>
        <color theme="1"/>
        <rFont val="Arial"/>
        <family val="2"/>
      </rPr>
      <t>e) representing real and verified GHG emissions reduction or removal relative to baseline emissions resulting from the implementation of a carbon project/mitigation activity.</t>
    </r>
  </si>
  <si>
    <t>Crédit carbone ou résultat d’atténuation</t>
  </si>
  <si>
    <t>Unité équivalente à une (1) tonne métrique d’équivalent dioxyde de carbone (tCO₂e) représentant une réduction ou une absorption réelle et vérifiée des émissions de GES par rapport à un scénario de référence, résultant de la mise en œuvre d’un projet carbone ou d’une activité d’atténuation.</t>
  </si>
  <si>
    <t>Carbon standard</t>
  </si>
  <si>
    <t>A set of established rules, procedures and methodologies according to which mitigation activities are implemented, GHG emissions reductions and removals are measured, verified, and carbon credits issued.</t>
  </si>
  <si>
    <t>Standard carbone</t>
  </si>
  <si>
    <t>Ensemble de règles, procédures et méthodologies établies selon lesquelles les activités d’atténuation sont mises en œuvre, les réductions et absorptions d’émissions de GES sont mesurées et vérifiées, et les crédits carbone sont délivrés.</t>
  </si>
  <si>
    <t>Corresponding adjustment</t>
  </si>
  <si>
    <t>An accounting mechanism that Parties to the Paris Agreement are required to apply for all authorized carbon credits to avoid double counting pursuant to Article 6.3 of the Paris Agreement and according to the requirements of the Article 6.2 Guidance.</t>
  </si>
  <si>
    <t>Ajustement correspondant</t>
  </si>
  <si>
    <t>Mécanisme comptable que les Parties à l’Accord de Paris sont tenues d’appliquer à tous les crédits carbone autorisés afin d’éviter le double comptage, conformément à l’Article 6.3 de l’Accord de Paris et aux exigences des orientations de l’Article 6.2.</t>
  </si>
  <si>
    <t>Corresponding adjustment Fee</t>
  </si>
  <si>
    <t>A fee/levy charged by the host country (often per authorized credit/ITMO or per transaction) to cover the administrative and compliance costs of applying corresponding adjustments and maintaining the systems and reporting needed to prevent double counting under Article 6.</t>
  </si>
  <si>
    <t>Un frais/prélèvement facturé par le pays hôte (souvent par crédit autorisé/ITMO ou par transaction) afin de couvrir les coûts administratifs et de conformité liés à l’application des ajustements correspondants, ainsi qu’au maintien des systèmes et des obligations de suivi et de reporting nécessaires pour éviter le double comptage au titre de l’Article 6</t>
  </si>
  <si>
    <t>Credit buyer/acquiring entity</t>
  </si>
  <si>
    <t>A government, company, or other entity that purchases carbon credits or mitigation outcomes to meet climate commitments, compliance obligations, or voluntary mitigation goals.</t>
  </si>
  <si>
    <t>Acheteur de crédits / entité acquéreuse</t>
  </si>
  <si>
    <t>Gouvernement, entreprise ou autre entité qui achète des crédits carbone ou des résultats d’atténuation afin de satisfaire des engagements climatiques, des obligations de conformité ou des objectifs volontaires d’atténuation.</t>
  </si>
  <si>
    <t>Credit price</t>
  </si>
  <si>
    <t>The agreed monetary value paid per carbon credit (usually expressed in USD per tCO₂e) in a transaction between a seller and a buyer.</t>
  </si>
  <si>
    <t>Prix du crédit</t>
  </si>
  <si>
    <t>Valeur monétaire convenue et payée par crédit carbone (généralement exprimée en USD par tCO₂e) dans une transaction entre un vendeur et un acheteur.</t>
  </si>
  <si>
    <t>Crediting period</t>
  </si>
  <si>
    <t>Période de délivrance des crédits (crediting period)</t>
  </si>
  <si>
    <t>Dummy projects</t>
  </si>
  <si>
    <t>Pre-filled, hypothetical project examples used to test the tool’s calculations and dashboard outputs. Selecting “Test Country” lets you explore how inputs flow through the model without using real country data.</t>
  </si>
  <si>
    <t>Projets fictifs</t>
  </si>
  <si>
    <t>Exemples de projets hypothétiques préremplis utilisés pour tester les calculs et les résultats du tableau de bord. La sélection de « Test Country » permet d’explorer le fonctionnement de l’outil sans utiliser de données réelles d’un pays.</t>
  </si>
  <si>
    <t>Emission reductions (ERs)</t>
  </si>
  <si>
    <t>The quantified decrease in greenhouse gas emissions relative to a defined baseline scenario resulting from the implementation of a mitigation activity.</t>
  </si>
  <si>
    <t>Réductions d’émissions (RE)</t>
  </si>
  <si>
    <t>La baisse quantifiée des émissions de gaz à effet de serre par rapport à un scénario de référence défini, résultant de la mise en œuvre d’une activité d’atténuation.</t>
  </si>
  <si>
    <t>Fee</t>
  </si>
  <si>
    <t>An amount collected by the government in exchange for services to make up for expenses incurred in providing public services.</t>
  </si>
  <si>
    <t>Frais</t>
  </si>
  <si>
    <t>Montant perçu par le gouvernement en contrepartie de services fournis afin de couvrir les coûts engagés pour la prestation de services publics.</t>
  </si>
  <si>
    <t>Fee (Fixed)</t>
  </si>
  <si>
    <t>Fixed fees are generally applied by governments to cover administrative and other costs. For example,fixed fees associated to requesting a Mitigation Activity Identification Number, a Letter or Approval, Letter of Authorisation.</t>
  </si>
  <si>
    <t>Frais (fixes)</t>
  </si>
  <si>
    <t>Les frais fixes sont généralement appliqués par les gouvernements pour couvrir des coûts administratifs et autres. Par exemple, des frais fixes associés à une demande de numéro d’identification d’une activité d’atténuation, une lettre d’approbation ou une lettre d’autorisation.</t>
  </si>
  <si>
    <t>Fee (In kind)</t>
  </si>
  <si>
    <t>In-kind fees are generally applied by governments to withhold a certain portion of credits. For example, Ghana withholds a 1% in-kind levy on authorised ITMOs.</t>
  </si>
  <si>
    <t>Frais (en nature)</t>
  </si>
  <si>
    <t>Les frais en nature sont généralement appliqués par les gouvernements pour retenir une certaine part des crédits. Par exemple, le Ghana retient un prélèvement en nature de 1 % sur les ITMOs autorisés.</t>
  </si>
  <si>
    <t>Fee (Listing)</t>
  </si>
  <si>
    <t>A fee charged to list/register carbon credits/ITMOs in a registry (e.g., national registry). In this tool, it is typically modelled as a per‑credit (per unit) or per‑transaction charge applied when credits are entered/listed for transfer, covering registry administration and processing costs.</t>
  </si>
  <si>
    <t>Frais (inscription au registre)</t>
  </si>
  <si>
    <t>Frais facturé pour inscrire/enregistrer des crédits carbone/ITMOs dans un registre (p. ex. registre national). Dans cet outil, il est généralement modélisé comme un montant par crédit (par unité) ou par transaction, appliqué lors de l’inscription des crédits en vue d’un transfert, afin de couvrir les coûts d’administration et de traitement du registre.</t>
  </si>
  <si>
    <t>Fee (Percentage)</t>
  </si>
  <si>
    <t>Fees represented as a percentage are generally applied by governments to apply a tax on total revenues. For example, Malaysia applies a tax on total revenues for Forest Ecosystem fee at 5% of the annual revenue.</t>
  </si>
  <si>
    <t>Frais (en pourcentage)</t>
  </si>
  <si>
    <t>Les frais représentés sous forme de pourcentage sont généralement appliqués par les gouvernements pour prélever une taxe sur les recettes totales. Par exemple, la Malaisie applique une taxe sur les recettes totales au titre des frais liés aux écosystèmes forestiers à hauteur de 5 % des recettes annuelles.</t>
  </si>
  <si>
    <t>Fee (Per unit)</t>
  </si>
  <si>
    <t>Per Unit fees are generally applied by governments to cover administrative costs related to registries or to apply corresponding adjustments. For example,Ghana applies a 5 USD corresponding adjustment fee and a 0.20 fee per credit on listing ITMOs in its registry.</t>
  </si>
  <si>
    <t>Frais (par unité)</t>
  </si>
  <si>
    <t>Les frais par unité sont généralement appliqués par les gouvernements pour couvrir des coûts administratifs liés aux registres ou pour appliquer des ajustements correspondants. Par exemple, le Ghana applique des frais d’ajustement correspondant de 5 USD et des frais de 0,20 USD par crédit lors de l’inscription des ITMOs dans son registre.</t>
  </si>
  <si>
    <t>Government annual costs</t>
  </si>
  <si>
    <t>Total recurring costs incurred by the government in a given year to run its carbon market functions, including staff/salaries, fixed office costs, and registry/IT administration, as well as other fixed administrative expenses. In this tool, this corresponds to the “Total annual operational costs” calculated in the “6.Gov operational costs” sheet.</t>
  </si>
  <si>
    <t>Coûts annuels du gouvernement</t>
  </si>
  <si>
    <t>Coût total récurrent supporté par le gouvernement sur une année pour assurer ses fonctions liées au marché carbone, incluant le personnel/les salaires, les coûts fixes de bureau et l’administration du registre/des systèmes informatiques, ainsi que d’autres dépenses administratives fixes (et, le cas échéant, les coûts annuels liés à l’administration des frais et prélèvements). Dans cet outil, cela correspond au « Total annual operational costs » calculé dans la feuille « 6.Gov operational costs ».</t>
  </si>
  <si>
    <t>Government additional operating costs</t>
  </si>
  <si>
    <t>Additional and often variable costs incurred to deliver and support carbon market operations beyond the annual cost base (e.g., overheads, travel/flights, expert reviews, consultations/workshops, and other ad‑hoc operational expenses). These costs should not be double counted with costs already captured under specific fees &amp; levies in the “5.F&amp;L Calculations” sheet.</t>
  </si>
  <si>
    <t>Coûts opérationnels additionnels du gouvernement</t>
  </si>
  <si>
    <t>Coûts additionnels, souvent variables, engagés pour mettre en œuvre et soutenir les opérations du marché carbone au‑delà de la base annuelle (p. ex. frais généraux, déplacements/vols, revues d’experts, consultations/ateliers et autres dépenses ponctuelles). Ces coûts ne doivent pas être comptabilisés deux fois avec ceux déjà saisis pour des frais et prélèvements spécifiques dans la feuille « 5.F&amp;L Calculations ».</t>
  </si>
  <si>
    <t>Gross revenue from credit sales</t>
  </si>
  <si>
    <t>Total revenue generated from the sale of carbon credits before the deduction of fees, levies, benefit-sharing contributions, or other costs.</t>
  </si>
  <si>
    <t>Recettes brutes issues de la vente de crédits</t>
  </si>
  <si>
    <t>Recettes totales générées par la vente de crédits carbone avant déduction des frais, prélèvements, contributions au partage des bénéfices ou autres coûts.</t>
  </si>
  <si>
    <t>Host country</t>
  </si>
  <si>
    <t>A country where a mitigation activity or carbon credit activity is located.</t>
  </si>
  <si>
    <t>Pays hôte</t>
  </si>
  <si>
    <t>Pays dans lequel est située une activité d’atténuation ou une activité générant des crédits carbone.</t>
  </si>
  <si>
    <t>Internationally transferred mitigation outcome (ITMO)</t>
  </si>
  <si>
    <t>Carbon credits or mitigation outcomes that have been authorized by the government of a host country for international transfer and use for the NDC of another country, in international mitigation purposes other than NDC achievement, or for other purposes (such as for voluntary carbon market purposes) pursuant to Article 6.2 Guidance.</t>
  </si>
  <si>
    <t>Résultat d’atténuation transféré au niveau international (ITMO)</t>
  </si>
  <si>
    <t>Crédits carbone ou résultats d’atténuation autorisés par le gouvernement d’un pays hôte pour un transfert international et une utilisation au titre de la CDN d’un autre pays, à des fins internationales d’atténuation autres que l’atteinte des CDN, ou à d’autres fins (telles que le marché volontaire du carbone), conformément aux orientations de l’Article 6.2.</t>
  </si>
  <si>
    <t>Issuance (of carbon credits)</t>
  </si>
  <si>
    <t>The formal process by which verified emission reductions or removals are converted into carbon credits and recorded in a registry under a carbon standard or mechanism.</t>
  </si>
  <si>
    <t>Délivrance/issuance (de crédits carbone)</t>
  </si>
  <si>
    <t>Processus formel par lequel des réductions ou absorptions d’émissions vérifiées sont converties en crédits carbone et enregistrées dans un registre relevant d’un standard ou d’un mécanisme carbone.</t>
  </si>
  <si>
    <t>Issuance volume</t>
  </si>
  <si>
    <t>The number of carbon credits issued during a specific period (typically annually) based on verified emission reductions.</t>
  </si>
  <si>
    <t>Issuance volume / volume de délivrance</t>
  </si>
  <si>
    <t>Nombre de crédits carbone délivrés sur une période donnée (généralement annuelle), sur la base de réductions d’émissions vérifiées.</t>
  </si>
  <si>
    <t>Levy</t>
  </si>
  <si>
    <t>General term for a payment to be made or withheld. For the purposes of the report, the term “levies” is used as an all-encompassing term that includes fees, charges and other types of payments made to the government (e.g. for sale and exploitation of state assets). The definition excludes taxes introduced through specialized tax laws (such as Value Added Tax, Corporate Income Tax etc.).</t>
  </si>
  <si>
    <t>Prélèvement</t>
  </si>
  <si>
    <t>Terme générique désignant un paiement à effectuer ou à retenir. Aux fins du rapport, le terme « prélèvements » est utilisé comme un terme englobant incluant les frais, redevances et autres types de paiements versés à l’État (par exemple pour la vente et l’exploitation d’actifs publics). Cette définition exclut les impôts instaurés par des législations fiscales spécifiques (telles que la TVA, l’impôt sur les sociétés, etc.).</t>
  </si>
  <si>
    <t>Methodology</t>
  </si>
  <si>
    <t>A set of technical rules used to determine the baseline scenario, quantify emission reductions, and monitor project performance under a carbon standard or mechanism.</t>
  </si>
  <si>
    <t>Méthodologie</t>
  </si>
  <si>
    <t>Ensemble de règles techniques utilisées pour déterminer le scénario de référence, quantifier les réductions d’émissions et assurer le suivi de la performance d’un projet dans le cadre d’un standard ou d’un mécanisme carbone.</t>
  </si>
  <si>
    <t>Mitigation activity or carbon credit activity</t>
  </si>
  <si>
    <t>A project, program or activity that is implemented to reduce or sequester GHG emissions with the aim of generating carbon credits or mitigation outcomes.</t>
  </si>
  <si>
    <t>Activité d’atténuation ou activité de crédit carbone</t>
  </si>
  <si>
    <t>Projet, programme ou activité mis en œuvre afin de réduire ou de séquestrer les émissions de GES dans le but de générer des crédits carbone ou des résultats d’atténuation.</t>
  </si>
  <si>
    <t>Net revenue from credit sales</t>
  </si>
  <si>
    <t>Revenue remaining after the deduction of applicable fees, levies, transaction costs, and other obligations.</t>
  </si>
  <si>
    <t>Recettes nettes issues de la vente de crédits</t>
  </si>
  <si>
    <t>Recettes restant après déduction des frais, prélèvements, coûts de transaction et autres obligations applicables.</t>
  </si>
  <si>
    <t>Overall mitigation in global emissions (OMGE)</t>
  </si>
  <si>
    <t>A mechanism under Article 6.4 whereby a portion of issued credits is cancelled to ensure that the mechanism contributes to a net reduction in global greenhouse gas emissions.</t>
  </si>
  <si>
    <t>Atténuation globale des émissions mondiales (OMGE)</t>
  </si>
  <si>
    <t>Mécanisme prévu à l’Article 6.4 par lequel une partie des crédits délivrés est annulée afin de garantir que le mécanisme contribue à une réduction nette des émissions mondiales de gaz à effet de serre.</t>
  </si>
  <si>
    <t>Paris Agreement</t>
  </si>
  <si>
    <t>An international treaty on climate change adopted at the 21st Conference of the Parties to the UNFCCC, which entered into force on 4 November 2016.</t>
  </si>
  <si>
    <t>Accord de Paris</t>
  </si>
  <si>
    <t>Traité international sur le changement climatique adopté lors de la vingt‑et‑unième Conférence des Parties à la CCNUCC, entré en vigueur le 4 novembre 2016.</t>
  </si>
  <si>
    <t>Project design document (PDD) or mitigation activity design document (MADD)</t>
  </si>
  <si>
    <t>A detailed technical document prepared by a mitigation activity proponent describing the design and implementation of a mitigation activity, following the requirements of a carbon standard.</t>
  </si>
  <si>
    <t>Document de conception du projet (PDD) ou document de conception de l’activité d’atténuation (MADD)</t>
  </si>
  <si>
    <t>Document technique détaillé préparé par le porteur d’une activité d’atténuation décrivant la conception et la mise en œuvre de l’activité, conformément aux exigences d’un standard carbone.</t>
  </si>
  <si>
    <t>Project developer/activity proponent</t>
  </si>
  <si>
    <t>The public or private entity responsible for designing, implementing, and managing a mitigation activity and for seeking issuance and sale of carbon credits.</t>
  </si>
  <si>
    <t>Développeur de projet / porteur d’activité</t>
  </si>
  <si>
    <t>Entité publique ou privée responsable de la conception, de la mise en œuvre et de la gestion d’une activité d’atténuation, ainsi que de la demande de délivrance et de la vente de crédits carbone.</t>
  </si>
  <si>
    <t>Registry</t>
  </si>
  <si>
    <t>An electronic system used to track the issuance, transfer, authorization, cancellation, and retirement of carbon credits or mitigation outcomes.</t>
  </si>
  <si>
    <t>Registre</t>
  </si>
  <si>
    <t>Système électronique utilisé pour suivre la délivrance, le transfert, l’autorisation, l’annulation et le retrait des crédits carbone ou des résultats d’atténuation.</t>
  </si>
  <si>
    <t>Share of Proceeds (SOP)</t>
  </si>
  <si>
    <t>A mandatory deduction of issued credits or transaction value used to support climate adaptation or administrative functions under certain carbon market mechanisms (e.g., the Adaptation Fund under Article 6.4).</t>
  </si>
  <si>
    <t>Déduction obligatoire de crédits délivrés ou de la valeur des transactions utilisée pour soutenir l’adaptation au changement climatique ou les fonctions administratives dans le cadre de certains mécanismes de marché du carbone (par exemple le Fonds pour l’adaptation au titre de l’Article 6.4).</t>
  </si>
  <si>
    <t>Tax</t>
  </si>
  <si>
    <t>A mandatory payment to the state budget whose amount bears no direct relation to goods and services provided to the payer. Taxes are used by government to raise general revenues and are paid into the general budget, unless specifically earmarked for certain activities.</t>
  </si>
  <si>
    <t>Impôt</t>
  </si>
  <si>
    <t>Paiement obligatoire versé au budget de l’État dont le montant n’a pas de lien direct avec les biens et services fournis au contribuable. Les impôts sont utilisés par les gouvernements pour lever des recettes générales et sont versés au budget général, sauf affectation spécifique.</t>
  </si>
  <si>
    <t>Validation</t>
  </si>
  <si>
    <t>An independent evaluation performed before project registration to confirm that a mitigation activity design complies with the requirements of the relevant carbon standard or mechanism.</t>
  </si>
  <si>
    <t>Évaluation indépendante réalisée avant l’enregistrement du projet afin de confirmer que la conception de l’activité d’atténuation est conforme aux exigences du standard ou du mécanisme carbone concerné.</t>
  </si>
  <si>
    <t>Verification</t>
  </si>
  <si>
    <t>An independent assessment conducted by an accredited third party to confirm that a mitigation activity has achieved the emission reductions or removals claimed, in accordance with an approved methodology.</t>
  </si>
  <si>
    <t>Vérification</t>
  </si>
  <si>
    <t>Évaluation indépendante réalisée par un tiers accrédité afin de confirmer qu’une activité d’atténuation a effectivement permis d’atteindre les réductions ou absorptions d’émissions revendiquées, conformément à une méthodologie approuvée.</t>
  </si>
  <si>
    <t>Results Dashboard for Governments (READ ONLY)</t>
  </si>
  <si>
    <t>Support guide</t>
  </si>
  <si>
    <t>The values in the table below are taken from the 'Input' sheet</t>
  </si>
  <si>
    <t>Gross revenue for the project</t>
  </si>
  <si>
    <t>Total project</t>
  </si>
  <si>
    <t>During authorized years</t>
  </si>
  <si>
    <t xml:space="preserve">This table provides the total gross revenue for the project after fetching calculations from the input sheet </t>
  </si>
  <si>
    <t>Gross revenue from non-authorized credits</t>
  </si>
  <si>
    <t>Gross revenue from authorized credits (ITMO)</t>
  </si>
  <si>
    <t>Total gross revenue for the project</t>
  </si>
  <si>
    <t>During authorized years is the number of credits that the country can deduct from its emissions balance</t>
  </si>
  <si>
    <t>Average annual gross revenue for the project</t>
  </si>
  <si>
    <t xml:space="preserve"> </t>
  </si>
  <si>
    <t>These values are taken from the 'F&amp;L calculations' sheet. Cost to communities is taken from the 'Gov operational costs' sheet</t>
  </si>
  <si>
    <t>Net revenue results are optional and will show only when costs included in Column E in F&amp;L Calculations sheet</t>
  </si>
  <si>
    <t>Fee revenue (USD)</t>
  </si>
  <si>
    <t>Fee revenue local currency</t>
  </si>
  <si>
    <t>% of Gross revenue</t>
  </si>
  <si>
    <t>% of net revenue</t>
  </si>
  <si>
    <t>Revenue from total applied administrative fees</t>
  </si>
  <si>
    <t>Total government revenues from all administrative fees (e.g., letter of entity authorization fee, Art.6.4 letter of authorization fee), taken from the F&amp;L Calculations sheet</t>
  </si>
  <si>
    <t>Revenue from total authorized credits (including CA fee)</t>
  </si>
  <si>
    <t>Total government revenues from all fees related to authorization including corresponding adjustment fees, taken from the F&amp;L Calculations sheet. For a more detailed breakdown, see the F&amp;L Calculations sheet</t>
  </si>
  <si>
    <t>Revenue from fees applied to non-authorized credits</t>
  </si>
  <si>
    <t>Total government revenues from fees applied to non-authorized credits (e.g., VCM listing fee), taken from the F&amp;L Calculations sheet</t>
  </si>
  <si>
    <t>Revenue from taxes on total revenues</t>
  </si>
  <si>
    <t>Levies applied to total revenues, taken from the F&amp;L Calculations sheet</t>
  </si>
  <si>
    <t>Total revenue for the Government</t>
  </si>
  <si>
    <t>Average annual revenue for the Government</t>
  </si>
  <si>
    <t>Please fill out the number of years in D12 of the Inputs tab</t>
  </si>
  <si>
    <t>These values are calculated from Section E of the input sheet</t>
  </si>
  <si>
    <t>Credits withheld and/or cancelled by the Government</t>
  </si>
  <si>
    <t>Credits (total duration)</t>
  </si>
  <si>
    <t>% total credits (total duration)</t>
  </si>
  <si>
    <t>Credits (authorized years)</t>
  </si>
  <si>
    <t>% total credits (authorized years)</t>
  </si>
  <si>
    <t>Credits withheld and/or cancelled by the Government through levies or fees, taken from the Input sheet</t>
  </si>
  <si>
    <t>Withheld credits (share of proceeds)</t>
  </si>
  <si>
    <t>Cancelled credits (overall mitigation in global emissions)</t>
  </si>
  <si>
    <t>Withheld credits (NDC buffer authorized)</t>
  </si>
  <si>
    <t>Withheld credits (all)</t>
  </si>
  <si>
    <t>Please include values in the 'Gov operational costs' sheet</t>
  </si>
  <si>
    <t>Operational cost (USD)</t>
  </si>
  <si>
    <t>Operational cost in local currency</t>
  </si>
  <si>
    <t>of gov. operational costs are covered by the project over the project duration</t>
  </si>
  <si>
    <t>Please include values in the 'NDC contribution' sheet to see your NDC targets and contribution</t>
  </si>
  <si>
    <t>NDC targets and contribution</t>
  </si>
  <si>
    <t>Values</t>
  </si>
  <si>
    <t>Note</t>
  </si>
  <si>
    <t>Include results from the inputs sheet on NDC considerations and calculations in the dashboard instead of keeping them in the inputs sheet</t>
  </si>
  <si>
    <t>Project NDC contribution</t>
  </si>
  <si>
    <t>National NDC target</t>
  </si>
  <si>
    <t>Insert your national NDC target in the calculations sheet</t>
  </si>
  <si>
    <t>Share of NDC target</t>
  </si>
  <si>
    <t>Sectoral NDC target</t>
  </si>
  <si>
    <t>Insert your sectoral NDC target in the calculations sheet</t>
  </si>
  <si>
    <t>Share of sectoral NDC target</t>
  </si>
  <si>
    <t>The NDC buffer includes buffer authorized and non-authorized</t>
  </si>
  <si>
    <t>Total NDC buffer (if applicable)</t>
  </si>
  <si>
    <t>1) Input Section (Orange Cells)</t>
  </si>
  <si>
    <t>User note: Please fill out all the cells in the input section, in order. Manually updating one cell requires updating all.</t>
  </si>
  <si>
    <t>Support Guide (Français)</t>
  </si>
  <si>
    <t>A.</t>
  </si>
  <si>
    <t>Select your country and include your project related inputs</t>
  </si>
  <si>
    <t>Start here</t>
  </si>
  <si>
    <t>If you change the country selection, please ensure that all orange cells below are updated correclty according to your (dummy) project.</t>
  </si>
  <si>
    <r>
      <t xml:space="preserve">Country                                                                                  </t>
    </r>
    <r>
      <rPr>
        <b/>
        <i/>
        <sz val="11"/>
        <color rgb="FFFF0000"/>
        <rFont val="Arial (Body)"/>
      </rPr>
      <t>Start here</t>
    </r>
  </si>
  <si>
    <t>Ghana</t>
  </si>
  <si>
    <t>Project Type</t>
  </si>
  <si>
    <t>Forestry</t>
  </si>
  <si>
    <r>
      <rPr>
        <sz val="9"/>
        <color rgb="FFFF0000"/>
        <rFont val="Arial (Body)"/>
      </rPr>
      <t xml:space="preserve">Important: </t>
    </r>
    <r>
      <rPr>
        <sz val="9"/>
        <color theme="6"/>
        <rFont val="Arial"/>
        <family val="2"/>
        <scheme val="minor"/>
      </rPr>
      <t>Select the project type. If you choose Test Country, select a dummy Project Type. Please also ensure to select "User input" in tab "5.F&amp;L_Calculations" when testing "Test country".</t>
    </r>
  </si>
  <si>
    <r>
      <t xml:space="preserve">Total project area (ha) - </t>
    </r>
    <r>
      <rPr>
        <i/>
        <sz val="11"/>
        <color theme="1"/>
        <rFont val="Arial"/>
        <family val="2"/>
        <scheme val="minor"/>
      </rPr>
      <t>For Forestry Only</t>
    </r>
  </si>
  <si>
    <t>Activity Category</t>
  </si>
  <si>
    <r>
      <rPr>
        <sz val="9"/>
        <color rgb="FFFF0000"/>
        <rFont val="Arial (Body)"/>
      </rPr>
      <t xml:space="preserve">Important: </t>
    </r>
    <r>
      <rPr>
        <sz val="9"/>
        <color theme="6"/>
        <rFont val="Arial"/>
        <family val="2"/>
        <scheme val="minor"/>
      </rPr>
      <t xml:space="preserve">If you chose Test Country, update Activity Category as Empty/Blank or 'Any' (if possible). If you choose Test Country or Zimbabwe, leave Activity Category as Empty/blank. If you choose Malaysia, please include the area (ha) as well, based on the total project area included in cell D9. If you choose Kenya, please update activity category based on credits applied for the project duration. </t>
    </r>
  </si>
  <si>
    <t>Project start (year)</t>
  </si>
  <si>
    <t>Project end (year)</t>
  </si>
  <si>
    <t>Average annual issuance volume (tCO2e)</t>
  </si>
  <si>
    <t>Total credits divided by project duration. Grey cells are calcualted automatically.</t>
  </si>
  <si>
    <t>Average non-authorized price (USD / credit)</t>
  </si>
  <si>
    <t>Insert the price of non-authorized credits.</t>
  </si>
  <si>
    <t>Average authorized/ITMO price (USD / credit) (if applicable)</t>
  </si>
  <si>
    <t>Insert the price of authorized credits.</t>
  </si>
  <si>
    <t>This section assesses whether the project falls within the scope of your country's NDC and whether the government has authorized specific project years within the current NDC period. E.g., the project start is 2028 but lasts until 2048. The NDC 3.0 sectoral target is until 2035. I can authorize 7 years from 2028 to 2035, and would like to see how many credits are authorized within this period. Column E provides information on the authorized years within a country's NDC.</t>
  </si>
  <si>
    <t>B.</t>
  </si>
  <si>
    <t>Include NDC related information</t>
  </si>
  <si>
    <t>Yes</t>
  </si>
  <si>
    <t>Target year of current NDC</t>
  </si>
  <si>
    <t>Inserting the NDC target year and then (if applicable) the number of approved crediting years, which will allow the calculations in column D to only take into account the years within your current NDC.</t>
  </si>
  <si>
    <t>Number of approved crediting years within your current NDC (if applicable)</t>
  </si>
  <si>
    <t>Total credits for approved crediting years (tCO2e)</t>
  </si>
  <si>
    <t>Grey cells are calculated automatically. This cell multiplies cell D15 with cell D24.</t>
  </si>
  <si>
    <t>Total credits issued during current NDC (tCO2e)</t>
  </si>
  <si>
    <t>Grey cells are calculated automatically. This calculates credits until the current NDC period.</t>
  </si>
  <si>
    <t>Remaining total credits outside approved crediting years (tCO2e)</t>
  </si>
  <si>
    <t>Grey cells are calculated automatically. This calculates credits beyond the current NDC period.</t>
  </si>
  <si>
    <t>C.</t>
  </si>
  <si>
    <t>Share of proceeds and overall mitigation in global emissions</t>
  </si>
  <si>
    <t>SOPs and OMGEs apply to all credits. Insert values here before proceeding further.</t>
  </si>
  <si>
    <t>Share of proceeds (SOP) applied to credits (%)</t>
  </si>
  <si>
    <t>If applicable, insert a SOP applied to credits. Under Article 6.4, SOP is a mandatory 5%. Optional under Article 6.2 depending on policy contexts.</t>
  </si>
  <si>
    <t>Number of credits towards SOP (# credits)</t>
  </si>
  <si>
    <t>Overall mitigation of global emissions applied to credits (%)</t>
  </si>
  <si>
    <t>If applicable, insert a OMGE applied to credits. Under Article 6.4, OMGE is a mandatory 2%. Optional under Article 6.2 depending on policy contexts.</t>
  </si>
  <si>
    <t>Number of credits towards OMGE (# credits)</t>
  </si>
  <si>
    <t>Remaining tradeable credits after SOP+OMGE</t>
  </si>
  <si>
    <t>Grey cells are calcualted automatically.</t>
  </si>
  <si>
    <t>D.</t>
  </si>
  <si>
    <t>Input authorized credit amount (if applicable)</t>
  </si>
  <si>
    <t>Include the total % of credits that you aim to authorize. Please note that this value is sourced from the remaining tradeable credits after applying SOP and OMGE.</t>
  </si>
  <si>
    <t>After including the percentage, this row will show the total amount of authorized credits.</t>
  </si>
  <si>
    <t>Amount of non-authorized credits (Remaining credits after authorization)</t>
  </si>
  <si>
    <t>After including the percentage, this row deducts the amount of authorized credits from the total amount of credits.</t>
  </si>
  <si>
    <t>E.</t>
  </si>
  <si>
    <t>F.</t>
  </si>
  <si>
    <t>Amount going to community projects</t>
  </si>
  <si>
    <t>Fixed amount</t>
  </si>
  <si>
    <t>Please select from the dropdown either ‘Fixed amount’ or ‘% of revenue’ for fees related to community projects.</t>
  </si>
  <si>
    <t>Insert total funds allocated to communities (fixed amount)</t>
  </si>
  <si>
    <t>Insert total funds allocated to communities (% of total fees &amp; levies revenue)</t>
  </si>
  <si>
    <t>Total cost of community projects</t>
  </si>
  <si>
    <t>G.</t>
  </si>
  <si>
    <t>Conversion of local currency to USD</t>
  </si>
  <si>
    <t>Please adjust the exchange rate to your country's foreign exchange rate.</t>
  </si>
  <si>
    <t>Please refer to the website in the link provided below and input the conversion rate from your local currency to USD.</t>
  </si>
  <si>
    <t>FX Rate (local currency per 1 USD)</t>
  </si>
  <si>
    <t>FX Rate (USD per 1 local currency)</t>
  </si>
  <si>
    <t>Please refer to the website in the link provided below and input the conversion rate from USD to your local currency</t>
  </si>
  <si>
    <t>To update currency rates: EU Commission website</t>
  </si>
  <si>
    <t>End of the input sheet</t>
  </si>
  <si>
    <t>Carbon Market Fees &amp; Levies Simulator for National Governments</t>
  </si>
  <si>
    <t>User note: Please refer to the support guide in Column X and the explanations embedded within the column descriptions. Please fill out all the cells in the input section, in order. Manually updating one cell requires updating all.</t>
  </si>
  <si>
    <t>Please manually remove/clean all inputs in Columns D,E,G when testing new scenarios to ensure that no previous inputs are included in the dashboard.</t>
  </si>
  <si>
    <t>The cost to the government column is optional. Please input the total fixed cost to the government for each fee (not calculated per item or unit).</t>
  </si>
  <si>
    <t>Government fees, levies &amp; related costs</t>
  </si>
  <si>
    <r>
      <t xml:space="preserve">Select gov. fee source                                   </t>
    </r>
    <r>
      <rPr>
        <b/>
        <i/>
        <sz val="11"/>
        <color rgb="FFC00000"/>
        <rFont val="Arial"/>
        <family val="2"/>
        <scheme val="minor"/>
      </rPr>
      <t>Start here</t>
    </r>
  </si>
  <si>
    <t>hidden column</t>
  </si>
  <si>
    <t>USER INPUT and PRESET DATA Support Guide</t>
  </si>
  <si>
    <t>Preset data</t>
  </si>
  <si>
    <t>these columns will be hidden</t>
  </si>
  <si>
    <t>Administrative fees</t>
  </si>
  <si>
    <t>Preset currency</t>
  </si>
  <si>
    <t>Conversion to USD</t>
  </si>
  <si>
    <t>Examples of fees are split per categories: 'Administrative fees' ; 'Non-authorized credits' ; 'Authorized credits' ; 'Tax on total revenues'.</t>
  </si>
  <si>
    <t>Fees associated with selection</t>
  </si>
  <si>
    <t>Custom fee name</t>
  </si>
  <si>
    <t>Cost to gov. (USD)</t>
  </si>
  <si>
    <t>Fee (Preset input)</t>
  </si>
  <si>
    <t>Fee (User input)</t>
  </si>
  <si>
    <t>Include Yes/No</t>
  </si>
  <si>
    <t>Fee type</t>
  </si>
  <si>
    <t>Custom fee type</t>
  </si>
  <si>
    <t>Applies to (user input)</t>
  </si>
  <si>
    <t>Currency</t>
  </si>
  <si>
    <t>Currency (user input)</t>
  </si>
  <si>
    <t>Calculated fee</t>
  </si>
  <si>
    <t>Calculated fee (USD)</t>
  </si>
  <si>
    <t>Applies to</t>
  </si>
  <si>
    <t>Notes</t>
  </si>
  <si>
    <t>Benchmark Ghana</t>
  </si>
  <si>
    <t>Benchmark Kenya</t>
  </si>
  <si>
    <t xml:space="preserve">Under Custom Fee Type: In_kind always refers to a share of credits. </t>
  </si>
  <si>
    <t>Fixed</t>
  </si>
  <si>
    <t>annual_revenue</t>
  </si>
  <si>
    <t>USD</t>
  </si>
  <si>
    <t>'Cost to Gov' (Column E), Cost to governments is optional and allows you to see the net benefit if included</t>
  </si>
  <si>
    <t>Local currency</t>
  </si>
  <si>
    <t>‘Custom Fee Type’ (Colum J) can be changed to Fixed, In-Kind, Per-Unit, Percentage. The user must consider the fee application under ‘Applies to’ in (Column K).</t>
  </si>
  <si>
    <t>‘Applies to’ in (Column K) helps define its application to define which component the custom fee will be applied to e.g., percentage on annual revenues.</t>
  </si>
  <si>
    <t>non_authorized_credits</t>
  </si>
  <si>
    <t>Fees applied to non-authorized credits</t>
  </si>
  <si>
    <t>Include fees associated with non-authorized credits. E.g., Listing fee for VCM credits</t>
  </si>
  <si>
    <t xml:space="preserve">Fees related to the national registry are listed either under 'Fees applied to non-authorized credits' for VCM credits or under 'Fees applied to authorized credits' for ITMOs/authorized credits </t>
  </si>
  <si>
    <t>Fees applied to authorized credits</t>
  </si>
  <si>
    <t>Include fees associated with authorization of ITMOs. E.g., Corresponding adjustment fee, listing fee for ITMOs</t>
  </si>
  <si>
    <t>authorized_credits</t>
  </si>
  <si>
    <t>Tax on total revenues</t>
  </si>
  <si>
    <t>Include fees associated with total taxes on revenues</t>
  </si>
  <si>
    <t>Per_Unit</t>
  </si>
  <si>
    <t>Percentage</t>
  </si>
  <si>
    <t>Operational costs for Governments</t>
  </si>
  <si>
    <t>Gov. operational costs</t>
  </si>
  <si>
    <t>Ensure that costs included under government operational costs are not double counted with costs applied to specific fees and levies in the 'F&amp;L Calculations' sheet.</t>
  </si>
  <si>
    <t>Insert total annual carbon market gov. office costs (excl. fees &amp; levies)</t>
  </si>
  <si>
    <t>Total costs estimated for fees &amp; levies in the '5.F&amp;L Calculations' sheet</t>
  </si>
  <si>
    <t>(Optional) Data in this row is taken from the costs related to fees included in the Calculations sheet.</t>
  </si>
  <si>
    <t>Insert any additional annual costs related to carbon operations</t>
  </si>
  <si>
    <t>Insert any additional costs related to the carbon operations (overheads, flights, expert reviews, etc.).</t>
  </si>
  <si>
    <t>Total annual operational costs</t>
  </si>
  <si>
    <t>Total operational costs during project</t>
  </si>
  <si>
    <t>Total operational costs during authorized years</t>
  </si>
  <si>
    <t>(Optional) This cell is calculated if you updated 4.Input cells D22 and D24.</t>
  </si>
  <si>
    <t>Gov. opportunity costs (timing the market)</t>
  </si>
  <si>
    <t>Scenario 1:</t>
  </si>
  <si>
    <t>Scenario 1 provides information on the total opportunity cost for authorized and non-authorized credits</t>
  </si>
  <si>
    <t>Non-authorized credits price development over time</t>
  </si>
  <si>
    <t>Average price taken from the input sheet</t>
  </si>
  <si>
    <t>Insert average price increase over project lifetime (in %)</t>
  </si>
  <si>
    <t>Calculate the expected average price increase for non-authorized credits over the project's lifetime and include that value in percentage in cell C6</t>
  </si>
  <si>
    <t>Updated average non-authorized price (USD / credit)</t>
  </si>
  <si>
    <t>Gross non-authorized revenue based on updated price</t>
  </si>
  <si>
    <t>Difference non-authorized revenue current vs projection</t>
  </si>
  <si>
    <t>This is your opportunity cost for non-authorized credits</t>
  </si>
  <si>
    <t>ITMOs price development over time</t>
  </si>
  <si>
    <t>ITMO price taken from the input sheet</t>
  </si>
  <si>
    <t>Insert average ITMO price increase over project lifetime (in %)</t>
  </si>
  <si>
    <t>Calculate the expected average price increase for authorized credits over the project's lifetime and include that value in percentage in cell C6</t>
  </si>
  <si>
    <t>Updated average ITMO price</t>
  </si>
  <si>
    <t xml:space="preserve">This cell automatically calculates the updated average authorized price based on the % increase in cell C6 </t>
  </si>
  <si>
    <t>Gross ITMO revenue based on updated average ITMO price</t>
  </si>
  <si>
    <t>Difference ITMO revenue current vs projection</t>
  </si>
  <si>
    <t>This is your opportunity cost for authorized credits</t>
  </si>
  <si>
    <t>Other perceived opportunity costs (-)</t>
  </si>
  <si>
    <t>Include any other perceived opportunity cost as a negative '-' value. For example, investing in a technology today that could be cheaper in the future.</t>
  </si>
  <si>
    <t>Total opportunity cost for authorized and non-authorized credits</t>
  </si>
  <si>
    <t>This is your opportunity cost for authorized and non-authorized credits</t>
  </si>
  <si>
    <t>Scenario 2:</t>
  </si>
  <si>
    <t>Scenario 2 provides information on the total opportunity cost if you sell all credits as non-authorized</t>
  </si>
  <si>
    <t>If all credits are sold as non-authorized credits instead of as ITMOs, you will be losing the amount shown in Cell 18</t>
  </si>
  <si>
    <t>Total opportunity cost in scenario 2</t>
  </si>
  <si>
    <t>This is your opportunity cost for authorized and non-authorized credits.</t>
  </si>
  <si>
    <t>NDC Contribution</t>
  </si>
  <si>
    <t>NDC contribution</t>
  </si>
  <si>
    <t>Insert your national NDC target (tCO2e)</t>
  </si>
  <si>
    <t>tCO2e</t>
  </si>
  <si>
    <t>Include your national NDC target corresponding to the project period (e.g., NDC 3.0 for projects in 2026)</t>
  </si>
  <si>
    <t>Insert your sectoral NDC target (tCO2e)</t>
  </si>
  <si>
    <t>Include your national sectoral NDC target corresponding to the project period (e.g., NDC 3.0 for projects in 2026)</t>
  </si>
  <si>
    <t>Total non-authorized credits for the project duration</t>
  </si>
  <si>
    <t>Taken from 4.Input sheet</t>
  </si>
  <si>
    <t>Total authorized credits for the project duration</t>
  </si>
  <si>
    <t>Total non-authorized credits within NDC period</t>
  </si>
  <si>
    <t>Total authorized credits within NDC period</t>
  </si>
  <si>
    <t>National share of non-authorized credits from this project</t>
  </si>
  <si>
    <t>%</t>
  </si>
  <si>
    <t>This cell shows the share of non-authorised credits from this projects going towards your national NDC target.</t>
  </si>
  <si>
    <t>National share of authorized credits from this project</t>
  </si>
  <si>
    <t>This cell shows the share of authorised credits from this projects going towards your national NDC target.</t>
  </si>
  <si>
    <t>Sectoral share of non-authorized credits from this project</t>
  </si>
  <si>
    <t>This cell shows the share of non-authorised credits from this projects going towards your sectoral NDC target.</t>
  </si>
  <si>
    <t>Sectoral share of authorized credits from this project</t>
  </si>
  <si>
    <t>This cell shows the share of authorised credits from this projects going towards your sectoral NDC target.</t>
  </si>
  <si>
    <t>Country</t>
  </si>
  <si>
    <t>Sector</t>
  </si>
  <si>
    <t>Fee_Name</t>
  </si>
  <si>
    <t>Fee_Group</t>
  </si>
  <si>
    <t>Applies_To</t>
  </si>
  <si>
    <t>Activity_Category</t>
  </si>
  <si>
    <t>Pathway</t>
  </si>
  <si>
    <t>Fee_Type</t>
  </si>
  <si>
    <t>Rate_or_Amount</t>
  </si>
  <si>
    <t>Unit</t>
  </si>
  <si>
    <t>Legal_Source</t>
  </si>
  <si>
    <t>Non-forestry</t>
  </si>
  <si>
    <t>Mitigation Activity Participant or Entity Application Fee</t>
  </si>
  <si>
    <t>Administrative Fee</t>
  </si>
  <si>
    <t>MAP</t>
  </si>
  <si>
    <t>Grant-based small scale mitigation activity</t>
  </si>
  <si>
    <t>ANY</t>
  </si>
  <si>
    <t>One time fee paid on account creation</t>
  </si>
  <si>
    <t>National carbon market framework</t>
  </si>
  <si>
    <t>Small-scale mitigation activity</t>
  </si>
  <si>
    <t>Large-scale non forestry project</t>
  </si>
  <si>
    <t>Mitigation Activity Identification (MID) fee</t>
  </si>
  <si>
    <t>MID</t>
  </si>
  <si>
    <t>Applies only if MAP not created</t>
  </si>
  <si>
    <t>Unique Identification Number (UIN) - initial</t>
  </si>
  <si>
    <t>UIN</t>
  </si>
  <si>
    <t>One time UIN issuance fee</t>
  </si>
  <si>
    <t>Unique Identification Number (UIN) - additional activities</t>
  </si>
  <si>
    <t>Applies for new/additional activities</t>
  </si>
  <si>
    <t>Corresponding adjustment fee</t>
  </si>
  <si>
    <t>Targeted levy</t>
  </si>
  <si>
    <t>Authorization</t>
  </si>
  <si>
    <t>Applies to authorized mitigation outcomes</t>
  </si>
  <si>
    <t>Listing fee (ITMO)</t>
  </si>
  <si>
    <t>Registry services for ITMO authorization and transfer</t>
  </si>
  <si>
    <t>Listing fee (VCM)</t>
  </si>
  <si>
    <t>Registry Fee</t>
  </si>
  <si>
    <t>No-authorization</t>
  </si>
  <si>
    <t>Registry services for VCM activities</t>
  </si>
  <si>
    <t>Letter of entity authorization fee</t>
  </si>
  <si>
    <t>LEA</t>
  </si>
  <si>
    <t>Applies to entities seeking Art.6.4 authorization</t>
  </si>
  <si>
    <t>Article 6.4 letter of approval fee</t>
  </si>
  <si>
    <t>LOA</t>
  </si>
  <si>
    <t xml:space="preserve">Applies to proponents seeking Art. 6.4 approval </t>
  </si>
  <si>
    <t>NDC risk buffer withholding</t>
  </si>
  <si>
    <t>NDC risk measure</t>
  </si>
  <si>
    <t>buffer_authorized</t>
  </si>
  <si>
    <t>In_Kind_Pct</t>
  </si>
  <si>
    <t>1% of authorized mitigation outcomes withheld</t>
  </si>
  <si>
    <t>In kind</t>
  </si>
  <si>
    <t>Custom fee (insert fee name in Column D) 1</t>
  </si>
  <si>
    <t>Tax on total revenue</t>
  </si>
  <si>
    <t>Custom fee (insert fee name in Column D) 2</t>
  </si>
  <si>
    <t>Kenya</t>
  </si>
  <si>
    <t>Carbon Project Application Fee (citizen)</t>
  </si>
  <si>
    <t>Project entry</t>
  </si>
  <si>
    <t>Payable upon submission of project concept - citizen</t>
  </si>
  <si>
    <t>KES</t>
  </si>
  <si>
    <t>Climate Change (Carbon Markets) Regulations, 2024</t>
  </si>
  <si>
    <t>Carbon Project Application Fee (non-citizen)</t>
  </si>
  <si>
    <t>Payable upon submission of project concept - non-citizen</t>
  </si>
  <si>
    <t>Project Design Document submission fee (citizen)</t>
  </si>
  <si>
    <t>PDD review</t>
  </si>
  <si>
    <t>Payable upon PDD submission - citizen</t>
  </si>
  <si>
    <t>Project Design Document submission fee (non-citizen)</t>
  </si>
  <si>
    <t>Payable upon PDD submission - non-citizen</t>
  </si>
  <si>
    <t>Administrative fee upon PDD approval</t>
  </si>
  <si>
    <t>PDD approval</t>
  </si>
  <si>
    <t>Issuance_≤15,000</t>
  </si>
  <si>
    <t>Applies if projected annual issuance ≤ 15,000 credits</t>
  </si>
  <si>
    <t>Issuance_&gt;15,000</t>
  </si>
  <si>
    <t>Applies if projected annual issuance &gt; 15,000 credits</t>
  </si>
  <si>
    <t>Issuance administrative fee (first tier)</t>
  </si>
  <si>
    <t>annual_credits</t>
  </si>
  <si>
    <t>Applies to first 15,000 credits issued per year</t>
  </si>
  <si>
    <t>Issuance administrative fee (second tier)</t>
  </si>
  <si>
    <t>Applies to issuance above 15,000 credits per year</t>
  </si>
  <si>
    <t>Payable upon authorization of ITMOs</t>
  </si>
  <si>
    <t>Zimbabwe</t>
  </si>
  <si>
    <t>Participation in carbon trading application fee</t>
  </si>
  <si>
    <t>Application fee currently set at zero for all carbon market pathways</t>
  </si>
  <si>
    <t>Carbon Credits Trading (General) Regulations, 2023</t>
  </si>
  <si>
    <t>Project Design Document submission fee</t>
  </si>
  <si>
    <t>PDD submission</t>
  </si>
  <si>
    <t>Payable upon submission of project design document</t>
  </si>
  <si>
    <t>Change of project scope fee</t>
  </si>
  <si>
    <t>Project modification</t>
  </si>
  <si>
    <t>Applies when project proponent requests a change of project scope</t>
  </si>
  <si>
    <t>Registration certificate fee</t>
  </si>
  <si>
    <t>zw_registration_fee</t>
  </si>
  <si>
    <t>Charged at 0.10 USD per credit, capped at 10,000 USD</t>
  </si>
  <si>
    <t>Amendment to registration fee</t>
  </si>
  <si>
    <t>Registration amendment</t>
  </si>
  <si>
    <t>Applies when amendments to registration are requested</t>
  </si>
  <si>
    <t>Renewal of registration certificate fee</t>
  </si>
  <si>
    <t>zw_renewal_fee</t>
  </si>
  <si>
    <t>Renewal fee equals 20% of initial registration certificate fee</t>
  </si>
  <si>
    <t>Environmental levy (share of proceeds)</t>
  </si>
  <si>
    <t>zw_environment</t>
  </si>
  <si>
    <t>30% of gross proceeds from sale of carbon credits</t>
  </si>
  <si>
    <t>Malaysia</t>
  </si>
  <si>
    <t>Carbon study permit issuance fee</t>
  </si>
  <si>
    <t>Study permit</t>
  </si>
  <si>
    <t>Area_&gt;50000_ha</t>
  </si>
  <si>
    <t>Issuance fee for areas &gt;50,000 ha</t>
  </si>
  <si>
    <t>MYR</t>
  </si>
  <si>
    <t>Area_2500_49999_ha</t>
  </si>
  <si>
    <t>Issuance fee for areas 2,500-49,999 ha</t>
  </si>
  <si>
    <t>Area_100_2499_ha</t>
  </si>
  <si>
    <t>Issuance fee for areas 100-2,499 ha</t>
  </si>
  <si>
    <t>Carbon study permit extension fee</t>
  </si>
  <si>
    <t>Study permit processing fee</t>
  </si>
  <si>
    <t>Processing fee (issuance &amp; extension)</t>
  </si>
  <si>
    <t>Forest carbon licence issuance/renewal fee</t>
  </si>
  <si>
    <t>Licence</t>
  </si>
  <si>
    <t>Licence issuance or renewal fee</t>
  </si>
  <si>
    <t>Licence processing fee (annual)</t>
  </si>
  <si>
    <t>Licence annual fee</t>
  </si>
  <si>
    <t>Annual carbon licence (registry maintenance) fee</t>
  </si>
  <si>
    <t>Annual registry maintenance</t>
  </si>
  <si>
    <t>MYR_per_year</t>
  </si>
  <si>
    <t>Forest ecosystem fee</t>
  </si>
  <si>
    <t>5% of annual VCU revenue (or higher if determined by Minister)</t>
  </si>
  <si>
    <t>Pct_of_revenue</t>
  </si>
  <si>
    <t>Test country</t>
  </si>
  <si>
    <t>General</t>
  </si>
  <si>
    <t>Custom fee (insert fee name in Column D) 3</t>
  </si>
  <si>
    <t>Custom fee (insert fee name in Column D) 4</t>
  </si>
  <si>
    <t>Custom fee (insert fee name in Column D) 5</t>
  </si>
  <si>
    <t>Custom fee (insert fee name in Column D) 6</t>
  </si>
  <si>
    <t>Custom fee (insert fee name in Column D) 7</t>
  </si>
  <si>
    <t>Custom fee (insert fee name in Column D) 8</t>
  </si>
  <si>
    <t>Custom fee (insert fee name in Column D) 9</t>
  </si>
  <si>
    <t>Sector non-forestry</t>
  </si>
  <si>
    <t>List of non-forestry</t>
  </si>
  <si>
    <t>Project type support</t>
  </si>
  <si>
    <t>selProjectType</t>
  </si>
  <si>
    <t>Pathway non-forestry</t>
  </si>
  <si>
    <t>Pathway forestry</t>
  </si>
  <si>
    <t>Activity category non-forestry</t>
  </si>
  <si>
    <t>Activity category forestry</t>
  </si>
  <si>
    <t>Gov. fee source</t>
  </si>
  <si>
    <t>% table</t>
  </si>
  <si>
    <t>Support dropdown</t>
  </si>
  <si>
    <t>Zimbabwe case</t>
  </si>
  <si>
    <t>Energy efficiency</t>
  </si>
  <si>
    <t>User input</t>
  </si>
  <si>
    <t>No</t>
  </si>
  <si>
    <t>Household devices</t>
  </si>
  <si>
    <t>Industry</t>
  </si>
  <si>
    <t>Other non-NBS</t>
  </si>
  <si>
    <t>Other NBS</t>
  </si>
  <si>
    <t>Renewable energy</t>
  </si>
  <si>
    <t>Transport</t>
  </si>
  <si>
    <t>Waste</t>
  </si>
  <si>
    <t>Insert % of authorized credits</t>
  </si>
  <si>
    <t>Insert total amount of authorized credits</t>
  </si>
  <si>
    <t>Select option for defining how to distribute authorized credits</t>
  </si>
  <si>
    <t>The percentage of authorized credits represents a portion of the remaining tradeable credits after SOP+OMGE.</t>
  </si>
  <si>
    <t>Please select from the dropdown either ‘Fixed amount’ or ‘Percentage’</t>
  </si>
  <si>
    <t>Guide d’assistance (FR)</t>
  </si>
  <si>
    <t>Ce tableau présente le chiffre d’affaires brut total du projet après récupération des calculs depuis l’onglet Inputs.</t>
  </si>
  <si>
    <t>Les « années autorisées » correspondent au nombre de crédits que le pays peut déduire de son bilan d’émissions.</t>
  </si>
  <si>
    <t>Total des recettes publiques provenant de tous les frais administratifs (p. ex. frais de lettre d’autorisation d’entité, frais de lettre d’autorisation Art.6.4), tiré de l’onglet F&amp;L Calculations.</t>
  </si>
  <si>
    <t>Total des recettes publiques provenant de tous les frais liés à l’autorisation, y compris les frais d’ajustement correspondant, tiré de l’onglet F&amp;L Calculations. Pour un détail, voir l’onglet F&amp;L Calculations.</t>
  </si>
  <si>
    <t>Total des recettes publiques provenant des frais appliqués aux crédits non autorisés (p. ex. frais d’inscription VCM), tiré de l’onglet F&amp;L Calculations.</t>
  </si>
  <si>
    <t>Prélèvements appliqués aux recettes totales, tirés de l’onglet F&amp;L Calculations.</t>
  </si>
  <si>
    <t>Veuillez renseigner le nombre d’années en D12 de l’onglet Inputs.</t>
  </si>
  <si>
    <t>Crédits retenus et/ou annulés par le gouvernement via des prélèvements ou des frais, tiré de l’onglet Inputs.</t>
  </si>
  <si>
    <t>Inclure dans le tableau de bord (au lieu de les laisser dans l’onglet Inputs) les résultats relatifs aux considérations et calculs sur la CDN.</t>
  </si>
  <si>
    <t>Le tampon CDN inclut les tampons pour crédits autorisés et non autorisés.</t>
  </si>
  <si>
    <t>Si vous modifiez la sélection du pays, veillez à ce que toutes les cellules orange ci-dessous soient mises à jour correctement selon votre projet (fictif).</t>
  </si>
  <si>
    <t>Crédits totaux divisés par la durée du projet. Les cellules grises sont calculées automatiquement.</t>
  </si>
  <si>
    <t>Saisissez le prix des crédits non autorisés.</t>
  </si>
  <si>
    <t>Saisissez le prix des crédits autorisés.</t>
  </si>
  <si>
    <t>Saisissez l’année cible de la CDN puis (le cas échéant) le nombre d’années de créditation approuvées, ce qui permettra aux calculs de la colonne D de ne tenir compte que des années relevant de votre CDN actuelle.</t>
  </si>
  <si>
    <t>Les cellules grises sont calculées automatiquement. Cette cellule multiplie D15 par D24.</t>
  </si>
  <si>
    <t>Les cellules grises sont calculées automatiquement. Cette cellule calcule les crédits jusqu’à la période de CDN actuelle.</t>
  </si>
  <si>
    <t>Le SOP et l’OMGE s’appliquent à tous les crédits. Saisissez les valeurs ici avant de continuer.</t>
  </si>
  <si>
    <t>Le cas échéant, saisissez un SOP appliqué aux crédits. En vertu de l’Article 6.4, le SOP est obligatoire à 5 %. Optionnel au titre de l’Article 6.2 selon les contextes politiques.</t>
  </si>
  <si>
    <t>Le cas échéant, saisissez un OMGE appliqué aux crédits. En vertu de l’Article 6.4, l’OMGE est obligatoire à 2 %. Optionnel au titre de l’Article 6.2 selon les contextes politiques.</t>
  </si>
  <si>
    <t>Les cellules grises sont calculées automatiquement.</t>
  </si>
  <si>
    <t>Indiquez le pourcentage total de crédits que vous souhaitez autoriser. Notez que cette valeur est calculée à partir des crédits négociables restants après application du SOP et de l’OMGE.</t>
  </si>
  <si>
    <t>Veuillez sélectionner dans la liste déroulante « Fixed amount » ou « Percentage ».</t>
  </si>
  <si>
    <t>Le montant total maximum de crédits autorisés est égal aux crédits négociables restants après SOP+OMGE (490 000 crédits).</t>
  </si>
  <si>
    <t>Le pourcentage de crédits autorisés représente une part des crédits négociables restants après SOP+OMGE.</t>
  </si>
  <si>
    <t>Après avoir indiqué le pourcentage, cette ligne affiche la quantité totale de crédits autorisés.</t>
  </si>
  <si>
    <t>Après avoir indiqué le pourcentage, cette ligne déduit la quantité de crédits autorisés du total des crédits.</t>
  </si>
  <si>
    <t>Certains pays appliquent des tampons sur les crédits autorisés (p. ex. le Ghana applique une mesure de risque CDN de 1 % sur les crédits autorisés).</t>
  </si>
  <si>
    <t>Veuillez sélectionner dans la liste déroulante « Fixed amount » ou « % of revenue » pour les frais liés aux projets communautaires.</t>
  </si>
  <si>
    <t>Veuillez ajuster le taux de change au taux de change de votre pays.</t>
  </si>
  <si>
    <t>Veuillez consulter le site web via le lien ci-dessous et saisir le taux de conversion de votre monnaie locale vers l’USD.</t>
  </si>
  <si>
    <t>Veuillez consulter le site web via le lien ci-dessous et saisir le taux de conversion de l’USD vers votre monnaie locale.</t>
  </si>
  <si>
    <t>Guide d’assistance – SAISIE UTILISATEUR et DONNÉES PRÉDÉFINIES</t>
  </si>
  <si>
    <t>Le choix « User Input » vous permet d’inclure des frais personnalisés pour toutes les catégories de frais. Saisissez les informations de gauche à droite en commençant par la colonne D (« Custom fee name »).</t>
  </si>
  <si>
    <t>Les exemples de frais sont répartis par catégories : « Administrative fees » ; « Non-authorized credits » ; « Authorized credits » ; « Tax on total revenues ».</t>
  </si>
  <si>
    <t>Sous « Custom Fee Type », In_kind désigne toujours une part de crédits.</t>
  </si>
  <si>
    <t>« Cost to Gov » (colonne E) : le coût pour le gouvernement est optionnel et permet d’afficher le bénéfice net s’il est renseigné.</t>
  </si>
  <si>
    <t>Le « Custom Fee Type » (colonne J) peut être défini sur Fixed, In-Kind, Per-Unit, Percentage. L’utilisateur doit considérer l’application du fee via « Applies to » (colonne K).</t>
  </si>
  <si>
    <t>« Applies to » (colonne K) aide à définir à quel élément le frais personnalisé s’applique, par ex. un pourcentage des revenus annuels.</t>
  </si>
  <si>
    <t>Inclure les frais associés aux crédits non autorisés, par ex. frais d’inscription pour les crédits VCM.</t>
  </si>
  <si>
    <t>Les frais liés au registre national sont listés soit dans « Fees applied to non-authorized credits » pour les crédits VCM, soit dans « Fees applied to authorized credits » pour les ITMO/crédits autorisés.</t>
  </si>
  <si>
    <t>Inclure les frais associés à l’autorisation des ITMO, par ex. frais d’ajustement correspondant, frais d’inscription pour les ITMO.</t>
  </si>
  <si>
    <t>Inclure les frais associés aux taxes totales sur les revenus.</t>
  </si>
  <si>
    <t>Guide d’assistance</t>
  </si>
  <si>
    <t>Le scénario 1 présente le coût d’opportunité total pour les crédits autorisés et non autorisés.</t>
  </si>
  <si>
    <t>Calculez l’augmentation moyenne attendue du prix des crédits non autorisés sur la durée du projet et indiquez cette valeur en pourcentage en cellule C6.</t>
  </si>
  <si>
    <t>Cette cellule calcule automatiquement le prix moyen mis à jour des crédits non autorisés sur la base du % d’augmentation en cellule C6.</t>
  </si>
  <si>
    <t>Il s’agit de votre coût d’opportunité pour les crédits non autorisés.</t>
  </si>
  <si>
    <t>Calculez l’augmentation moyenne attendue du prix des crédits autorisés sur la durée du projet et indiquez cette valeur en pourcentage en cellule C6.</t>
  </si>
  <si>
    <t>Cette cellule calcule automatiquement le prix moyen mis à jour des crédits autorisés sur la base du % d’augmentation en cellule C6.</t>
  </si>
  <si>
    <t>Il s’agit de votre coût d’opportunité pour les crédits autorisés.</t>
  </si>
  <si>
    <t>Indiquez tout autre coût d’opportunité perçu sous forme de valeur négative « - ». Par exemple, investir aujourd’hui dans une technologie qui pourrait être moins chère à l’avenir.</t>
  </si>
  <si>
    <t>Il s’agit de votre coût d’opportunité pour les crédits autorisés et non autorisés.</t>
  </si>
  <si>
    <t>Le scénario 2 présente le coût d’opportunité total si vous vendez tous les crédits comme non autorisés.</t>
  </si>
  <si>
    <t>Si tous les crédits sont vendus comme crédits non autorisés plutôt que comme ITMO, vous perdrez le montant indiqué en cellule 18.</t>
  </si>
  <si>
    <t>Indiquez votre objectif national de CDN (tCO2e) correspondant à la période du projet (par ex. CDN 3.0 pour des projets en 2026).</t>
  </si>
  <si>
    <t>Indiquez votre objectif sectoriel de CDN (tCO2e) correspondant à la période du projet (par ex. CDN 3.0 pour des projets en 2026).</t>
  </si>
  <si>
    <t>Extrait de l’onglet 4.Inputs.</t>
  </si>
  <si>
    <t>Cette cellule affiche la part des crédits non autorisés de ce projet contribuant à votre objectif national de CDN.</t>
  </si>
  <si>
    <t>Cette cellule affiche la part des crédits autorisés de ce projet contribuant à votre objectif national de CDN.</t>
  </si>
  <si>
    <t>Cette cellule affiche la part des crédits non autorisés de ce projet contribuant à votre objectif sectoriel de CDN.</t>
  </si>
  <si>
    <t>Cette cellule affiche la part des crédits autorisés de ce projet contribuant à votre objectif sectoriel de CDN.</t>
  </si>
  <si>
    <r>
      <rPr>
        <sz val="9"/>
        <color rgb="FFFF0000"/>
        <rFont val="Arial (Body)"/>
      </rPr>
      <t>Important :</t>
    </r>
    <r>
      <rPr>
        <sz val="9"/>
        <color rgb="FFFF0000"/>
        <rFont val="Arial"/>
        <family val="2"/>
        <scheme val="minor"/>
      </rPr>
      <t xml:space="preserve"> </t>
    </r>
    <r>
      <rPr>
        <sz val="9"/>
        <color theme="6"/>
        <rFont val="Arial"/>
        <family val="2"/>
        <scheme val="minor"/>
      </rPr>
      <t>sélectionnez le type de projet. Si vous choisissez « Test Country », sélectionnez un type de projet fictif. Veillez aussi à sélectionner « User input » dans l’onglet « 5.F&amp;L_Calculations » lors des tests du « Test country ».</t>
    </r>
  </si>
  <si>
    <r>
      <rPr>
        <sz val="9"/>
        <color rgb="FFFF0000"/>
        <rFont val="Arial (Body)"/>
      </rPr>
      <t xml:space="preserve">Important : </t>
    </r>
    <r>
      <rPr>
        <sz val="9"/>
        <color theme="6"/>
        <rFont val="Arial"/>
        <family val="2"/>
        <scheme val="minor"/>
      </rPr>
      <t>si vous avez choisi Test Country, mettez la catégorie d’activité à vide/blanc ou « Any » (si possible). Si vous choisissez Test Country ou Zimbabwe, laissez la catégorie d’activité vide/blanc. Si vous choisissez Malaysia, incluez aussi la superficie (ha) sur la base de la superficie totale du projet en D9. Si vous choisissez Kenya, mettez à jour la catégorie d’activité selon les crédits appliqués sur la durée du projet.</t>
    </r>
  </si>
  <si>
    <t>Cette section évalue si le projet relève du périmètre de la CDN du pays et si le gouvernement a autorisé certaines années spécifiques du projet pendant la période couverte par la CDN actuelle.
Par exemple, le projet débute en 2028 et se poursuit jusqu’en 2048, tandis que l’objectif sectoriel de la CDN 3.0 couvre la période jusqu’en 2035. Il est alors possible d’autoriser 7 années, de 2028 à 2035, et d’évaluer le volume de crédits autorisés sur cette période.
La colonne E fournit des informations sur les années autorisées dans le cadre de la CDN du pays.</t>
  </si>
  <si>
    <t>Veillez à ce que les coûts inclus au titre des coûts opérationnels du gouvernement ne soient pas comptabilisés deux fois avec les coûts appliqués à des frais et prélèvements spécifiques dans l’onglet « F&amp;L Calculations ».</t>
  </si>
  <si>
    <t>Saisissez tout coût annuel additionnel lié aux opérations carbone (frais généraux, vols/déplacements, revues d’experts, etc.).</t>
  </si>
  <si>
    <t>(Facultatif) Les données de cette ligne sont reprises à partir des coûts liés aux frais inclus dans l’onglet « Calculations</t>
  </si>
  <si>
    <t>(Facultatif) Cette cellule est calculée si vous avez mis à jour les cellules D22 et D24 de l’onglet « 4.Inputs ».</t>
  </si>
  <si>
    <r>
      <t>This cell auto calculates the updated</t>
    </r>
    <r>
      <rPr>
        <b/>
        <sz val="9"/>
        <color rgb="FF65CAD1"/>
        <rFont val="Arial"/>
        <family val="2"/>
        <scheme val="minor"/>
      </rPr>
      <t xml:space="preserve"> average non-authorized price </t>
    </r>
    <r>
      <rPr>
        <sz val="9"/>
        <color rgb="FF65CAD1"/>
        <rFont val="Arial"/>
        <family val="2"/>
        <scheme val="minor"/>
      </rPr>
      <t xml:space="preserve">based on the % increase in cell C6 </t>
    </r>
  </si>
  <si>
    <t>Il s’agit de votre coût d’oIl s’agit de votre coût d’opportunité pour les crédits autorisés et non autoriséspportunité pour les crédits autorisés et non autorisés.</t>
  </si>
  <si>
    <t>Guide d'assistance</t>
  </si>
  <si>
    <t>The sample country selected in the simulation tool to demonstrate how different carbon market fees, levies, and benefit-sharing arrangements affect government revenues and project developer returns under a defined set of assumptions and policy parameters.</t>
  </si>
  <si>
    <t>Le pays d’exemple sélectionné dans l’outil de simulation afin d’illustrer comment différents frais, prélèvements, taxes et mécanismes de partage des bénéfices liés aux marchés carbone influencent les revenus de l’État et les retours des développeurs de projets selon un ensemble défini d’hypothèses et de paramètres politiques.</t>
  </si>
  <si>
    <t>Test Country (in the 4.Inputs sheet)</t>
  </si>
  <si>
    <t>3. Gov Dashboard: Main Output for Governments</t>
  </si>
  <si>
    <t>4. Inputs sheet: Main User Entry Point</t>
  </si>
  <si>
    <t>Withheld amount from authorized credits (%)</t>
  </si>
  <si>
    <t>Withheld amount from authorized credits (# credits)</t>
  </si>
  <si>
    <t>Host country withholding on mitigation outcomes (optional/country specific)</t>
  </si>
  <si>
    <t>Total expected credits for the entire crediting period (tCO2e)</t>
  </si>
  <si>
    <t>Crediting period (years)</t>
  </si>
  <si>
    <r>
      <t xml:space="preserve">Selecting 'User Input' allows you to include custom fees for all fee categories. Select inputs from left to right starting with Column D, 'Custom fee name'.  </t>
    </r>
    <r>
      <rPr>
        <sz val="9"/>
        <color rgb="FFC00000"/>
        <rFont val="Arial (Body)"/>
      </rPr>
      <t xml:space="preserve">Important: </t>
    </r>
    <r>
      <rPr>
        <sz val="9"/>
        <color theme="6"/>
        <rFont val="Arial"/>
        <family val="2"/>
        <scheme val="minor"/>
      </rPr>
      <t>Administrative fees are meant to cover the admin cost of providing the service.</t>
    </r>
  </si>
  <si>
    <t>Insert cost of managing community funds, if any</t>
  </si>
  <si>
    <t>The time period during which a mitigation activity is eligible to generate carbon credits. This crediting period may differ from the overall project duration, which includes all phases of the activity such as development, implementation, and operation, even beyond the period during which credits can be issued.</t>
  </si>
  <si>
    <t>La période pendant laquelle une activité d’atténuation est éligible à la génération de crédits carbone. Cette période de crédit peut différer de la durée globale du projet, qui inclut toutes les phases de l’activité, telles que le développement, la mise en œuvre et l’exploitation, y compris au-delà de la période pendant laquelle des crédits peuvent être délivrés.</t>
  </si>
  <si>
    <r>
      <rPr>
        <sz val="9"/>
        <color rgb="FFC00000"/>
        <rFont val="Arial"/>
        <family val="2"/>
      </rPr>
      <t xml:space="preserve">Important: </t>
    </r>
    <r>
      <rPr>
        <sz val="9"/>
        <color theme="6"/>
        <rFont val="Arial"/>
        <family val="2"/>
      </rPr>
      <t>If the government is a project developer and seller , these revenues belong to the government.</t>
    </r>
  </si>
  <si>
    <r>
      <rPr>
        <sz val="9"/>
        <color rgb="FFC00000"/>
        <rFont val="Arial"/>
        <family val="2"/>
      </rPr>
      <t xml:space="preserve">Important: </t>
    </r>
    <r>
      <rPr>
        <sz val="9"/>
        <color theme="6"/>
        <rFont val="Arial"/>
        <family val="2"/>
      </rPr>
      <t>Si le gouvernement est à la fois développeur de projet et vendeur, ces revenus lui reviennent.</t>
    </r>
  </si>
  <si>
    <t>In most cases, if the government is not the project developer, there is no cost to manage community funds.</t>
  </si>
  <si>
    <t>Amount going to community projects will be provided directly by the project developer, unless the government is the project developer/seller.</t>
  </si>
  <si>
    <t>Overall government operational costs</t>
  </si>
  <si>
    <t>Government revenue from the project</t>
  </si>
  <si>
    <t>How will the funds be allocated to communities for the entire crediting period?</t>
  </si>
  <si>
    <t>Amount going to communities</t>
  </si>
  <si>
    <t>Cost of managing community funds</t>
  </si>
  <si>
    <r>
      <rPr>
        <sz val="9"/>
        <color rgb="FFFF0000"/>
        <rFont val="Arial (Body)"/>
      </rPr>
      <t xml:space="preserve">Important: </t>
    </r>
    <r>
      <rPr>
        <sz val="9"/>
        <color theme="6"/>
        <rFont val="Arial"/>
        <family val="2"/>
        <scheme val="minor"/>
      </rPr>
      <t>Insert the total number of credits for the entire project. These are the expected credits deducting any buffer applied by carbon standards, if any.</t>
    </r>
  </si>
  <si>
    <t>The amounts withheld mentioned here are optional. These amounts are applied by countries to hedge against potential risks. E.g., applying a NDC pool buffer to protect against potential non-achievement of climate goals.</t>
  </si>
  <si>
    <t>Some countries apply buffers on/withhold authorized credits (e.g., Ghana applies a 1% NDC risk measure on authorized credits).</t>
  </si>
  <si>
    <t>Le montant alloué aux projets communautaires sera fourni directement par le développeur de projet, sauf si le gouvernement est lui-même le développeur/vendeur.</t>
  </si>
  <si>
    <t>Dans la plupart des cas, si le gouvernement n’est pas le développeur du projet, il n’y a pas de coût associé à la gestion des fonds communautaires.</t>
  </si>
  <si>
    <t>Les montants retenus mentionnés ici sont optionnels. Ils sont appliqués par les pays afin de se prémunir contre certains risques potentiels, par exemple l’application d’un tampon (buffer) pour la CDN afin de se protéger contre un éventuel non-atteinte des objectifs climatiques.</t>
  </si>
  <si>
    <r>
      <rPr>
        <sz val="9"/>
        <color rgb="FFFF0000"/>
        <rFont val="Arial (Body)"/>
      </rPr>
      <t xml:space="preserve">Important : </t>
    </r>
    <r>
      <rPr>
        <sz val="9"/>
        <color theme="6"/>
        <rFont val="Arial"/>
        <family val="2"/>
        <scheme val="minor"/>
      </rPr>
      <t>indiquer le nombre total de crédits pour l’ensemble du projet. Il s’agit des crédits estimés, déduction faite de tout buffer appliqué par les standards carbone, le cas échéant.</t>
    </r>
  </si>
  <si>
    <t>Amount of authorized credits</t>
  </si>
  <si>
    <t>Excess revenue (USD)</t>
  </si>
  <si>
    <t>Excess revenue local currency</t>
  </si>
  <si>
    <r>
      <t xml:space="preserve">The </t>
    </r>
    <r>
      <rPr>
        <i/>
        <sz val="11"/>
        <color rgb="FFC00000"/>
        <rFont val="Arial"/>
        <family val="2"/>
      </rPr>
      <t xml:space="preserve">Carbon Market Levies Simulator </t>
    </r>
    <r>
      <rPr>
        <sz val="11"/>
        <color theme="1"/>
        <rFont val="Arial"/>
        <family val="2"/>
      </rPr>
      <t>is a practical</t>
    </r>
    <r>
      <rPr>
        <b/>
        <sz val="11"/>
        <color theme="1"/>
        <rFont val="Arial"/>
        <family val="2"/>
      </rPr>
      <t xml:space="preserve"> (beta) tool</t>
    </r>
    <r>
      <rPr>
        <sz val="11"/>
        <color theme="1"/>
        <rFont val="Arial"/>
        <family val="2"/>
      </rPr>
      <t xml:space="preserve"> developed to support </t>
    </r>
    <r>
      <rPr>
        <b/>
        <sz val="11"/>
        <color theme="1"/>
        <rFont val="Arial"/>
        <family val="2"/>
      </rPr>
      <t>national governments</t>
    </r>
    <r>
      <rPr>
        <sz val="11"/>
        <color theme="1"/>
        <rFont val="Arial"/>
        <family val="2"/>
      </rPr>
      <t xml:space="preserve"> in designing and assessing fees and levies in their carbon market frameworks. It allows policymakers to test different fee levels and policy options and understand their financial implications. The tool helps governments explore how different types of fees and levies – such as administrative fees, per-credit fees, revenue-based levies, or in-kind deductions – could affect public revenue from carbon market activities. At the same time, it provides an indication of how these measures may affect project profitability and the incentives for project developers.
The tool works as a scenario-based simulation model. Users enter key inputs such as country selection, project characteristics, credit volumes, prices, and policy parameters in the </t>
    </r>
    <r>
      <rPr>
        <b/>
        <sz val="11"/>
        <color theme="9"/>
        <rFont val="Arial"/>
        <family val="2"/>
      </rPr>
      <t>orange cells</t>
    </r>
    <r>
      <rPr>
        <sz val="11"/>
        <color theme="1"/>
        <rFont val="Arial"/>
        <family val="2"/>
      </rPr>
      <t xml:space="preserve">. Based on these inputs, the calculation engine estimates the resulting financial outcomes, including total government revenue, and developer net revenue. Calculated results throughout the workbook are shown in </t>
    </r>
    <r>
      <rPr>
        <b/>
        <sz val="11"/>
        <color theme="2" tint="-0.249977111117893"/>
        <rFont val="Arial"/>
        <family val="2"/>
      </rPr>
      <t>grey cells</t>
    </r>
    <r>
      <rPr>
        <sz val="11"/>
        <color theme="1"/>
        <rFont val="Arial"/>
        <family val="2"/>
      </rPr>
      <t xml:space="preserve">.
The current version of the tool includes preset configurations and data for four pilot countries – Ghana, Kenya, Malaysia, and Zimbabwe – based on publicly available regulations and policy documents. </t>
    </r>
    <r>
      <rPr>
        <b/>
        <sz val="11"/>
        <color theme="1"/>
        <rFont val="Arial"/>
        <family val="2"/>
      </rPr>
      <t>Users can override these values from preset countries to test other country contexts and policy scenarios.</t>
    </r>
    <r>
      <rPr>
        <sz val="11"/>
        <color theme="1"/>
        <rFont val="Arial"/>
        <family val="2"/>
      </rPr>
      <t xml:space="preserve">
The current country configurations are based on a review of publicly available regulations and policy documents. The tool is intended as a decision-support and exploratory instrument and does not replace official legal or regulatory guidance.</t>
    </r>
    <r>
      <rPr>
        <sz val="11"/>
        <rFont val="Arial"/>
        <family val="2"/>
      </rPr>
      <t xml:space="preserve"> </t>
    </r>
    <r>
      <rPr>
        <b/>
        <sz val="11"/>
        <rFont val="Arial"/>
        <family val="2"/>
      </rPr>
      <t xml:space="preserve">Governments can consider periodically reviewing their fees, taking into account market circumstances. </t>
    </r>
    <r>
      <rPr>
        <sz val="11"/>
        <color theme="1"/>
        <rFont val="Arial"/>
        <family val="2"/>
      </rPr>
      <t xml:space="preserve">
The tool was developed by Climate Focus, technical partner of the West African Alliance on Carbon Markets and Climate Finance in consultation with West African Alliance Focal Points, and with the support from the International Climate Initiative (Internationale Klimaschutzinitiative, IKI), funded by the German Federal Ministry for the Environment, Climate Action, Nature Conservation, Nuclear Safety (BMUKN). </t>
    </r>
    <r>
      <rPr>
        <b/>
        <sz val="11"/>
        <color theme="1"/>
        <rFont val="Arial"/>
        <family val="2"/>
      </rPr>
      <t>Future versions of the tool may expand country coverage and refine assumptions as additional data and regulatory developments become available</t>
    </r>
    <r>
      <rPr>
        <sz val="11"/>
        <color theme="1"/>
        <rFont val="Arial"/>
        <family val="2"/>
      </rPr>
      <t>.</t>
    </r>
  </si>
  <si>
    <r>
      <t xml:space="preserve">L'outil </t>
    </r>
    <r>
      <rPr>
        <i/>
        <sz val="11"/>
        <color rgb="FFC00000"/>
        <rFont val="Arial"/>
        <family val="2"/>
      </rPr>
      <t xml:space="preserve">Carbon Market Levies Simulator </t>
    </r>
    <r>
      <rPr>
        <i/>
        <sz val="11"/>
        <color theme="1"/>
        <rFont val="Arial"/>
        <family val="2"/>
      </rPr>
      <t xml:space="preserve">est un outil pratique </t>
    </r>
    <r>
      <rPr>
        <b/>
        <sz val="11"/>
        <color theme="1"/>
        <rFont val="Arial"/>
        <family val="2"/>
      </rPr>
      <t xml:space="preserve">(version bêta) </t>
    </r>
    <r>
      <rPr>
        <sz val="11"/>
        <color theme="1"/>
        <rFont val="Arial"/>
        <family val="2"/>
      </rPr>
      <t xml:space="preserve">développé pour soutenir les </t>
    </r>
    <r>
      <rPr>
        <b/>
        <sz val="11"/>
        <color theme="1"/>
        <rFont val="Arial"/>
        <family val="2"/>
      </rPr>
      <t>gouvernements</t>
    </r>
    <r>
      <rPr>
        <sz val="11"/>
        <color theme="1"/>
        <rFont val="Arial"/>
        <family val="2"/>
      </rPr>
      <t xml:space="preserve"> à concevoir et à évaluer les frais et prélèvements dans leurs cadres de régulation du marché carbone. L'outil aide les gouvernements à analyser comment différents types de frais et de prélèvements – tels que les frais administratifs, les frais par crédit, ou autre type de frais (ex. In-Kind) – peuvent affecter les recettes publiques issues des activités du marché carbone. Il donne également une indication de l'impact de ces mesures sur la rentabilité des projets et les indicitations pour les promoteurs de projets.
L’outil fonctionne comme un modèle de simulation basé sur des scénarios. Les utilisateurs saisissent des paramètres clés tels que la sélection du pays, les caractéristiques du projet, les volumes de crédits, les prix et les paramètres de politique publique dans les </t>
    </r>
    <r>
      <rPr>
        <b/>
        <sz val="11"/>
        <color rgb="FFE66844"/>
        <rFont val="Arial"/>
        <family val="2"/>
      </rPr>
      <t>cellules orange</t>
    </r>
    <r>
      <rPr>
        <sz val="11"/>
        <color theme="1"/>
        <rFont val="Arial"/>
        <family val="2"/>
      </rPr>
      <t xml:space="preserve">. À partir de ces données, le moteur de calcul estime les résultats financiers correspondants, notamment les recettes totales de l’État et les revenus nets des développeurs. Les résultats calculés dans l’ensemble du classeur apparaissent dans des </t>
    </r>
    <r>
      <rPr>
        <b/>
        <sz val="11"/>
        <color theme="1" tint="0.79998168889431442"/>
        <rFont val="Arial"/>
        <family val="2"/>
      </rPr>
      <t>cellules grises</t>
    </r>
    <r>
      <rPr>
        <sz val="11"/>
        <color theme="1"/>
        <rFont val="Arial"/>
        <family val="2"/>
      </rPr>
      <t>.</t>
    </r>
    <r>
      <rPr>
        <u/>
        <sz val="11"/>
        <color theme="1"/>
        <rFont val="Arial"/>
        <family val="2"/>
      </rPr>
      <t xml:space="preserve">
</t>
    </r>
    <r>
      <rPr>
        <sz val="11"/>
        <color theme="1"/>
        <rFont val="Arial"/>
        <family val="2"/>
      </rPr>
      <t xml:space="preserve">La version actuelle de l’outil inclut des configurations prédéfinies et des données pour quatre pays pilotes – le Ghana, le Kenya, la Malaisie et le Zimbabwe – sur la base de réglementations et de documents de politique publique accessibles au public. Les utilisateurs peuvent remplacer les valeurs prédéfinies de ces pays afin de tester d’autres contextes nationaux et scénarios de politique publique.
Ces configurations reposent sur une analyse de documents publics et ne remplacent pas les cadres juridiques ou réglementaires officiels. L’outil est conçu comme un outil d’aide à la décision et d’exploration. Les gouvernements peuvent envisager de réviser périodiquement leurs redevances, en tenant compte des conditions du marché.
L’outil a été développé par Climate Focus, partnaire technique de l’Alliance ouest-africaine sur les marchés carbone et la finance climat en consultation avec les points focaux de l'Alliance, et avec le soutien de l’Initiative internationale pour le climat (IKI), financée par le ministère fédéral allemand de l’Environnement, de l’Action climatique, de la Conservation de la nature et de la Sûreté nucléaire (BMUKN). </t>
    </r>
    <r>
      <rPr>
        <b/>
        <sz val="11"/>
        <color theme="1"/>
        <rFont val="Arial"/>
        <family val="2"/>
      </rPr>
      <t>De futures versions pourraient élargir la couverture géographique et affiner les hypothèses.</t>
    </r>
  </si>
  <si>
    <t>- Fees linked to administrative efforts related to authorized credits</t>
  </si>
  <si>
    <t>- Fees linked to administrative efforts related to non-authorized credits</t>
  </si>
  <si>
    <r>
      <rPr>
        <b/>
        <sz val="11"/>
        <color theme="1"/>
        <rFont val="Arial"/>
        <family val="2"/>
      </rPr>
      <t>Purpose</t>
    </r>
    <r>
      <rPr>
        <sz val="11"/>
        <color theme="1"/>
        <rFont val="Arial"/>
        <family val="2"/>
      </rPr>
      <t xml:space="preserve">: Defines the scenario: country </t>
    </r>
    <r>
      <rPr>
        <i/>
        <sz val="11"/>
        <color theme="1"/>
        <rFont val="Arial"/>
        <family val="2"/>
      </rPr>
      <t>(or test-country)</t>
    </r>
    <r>
      <rPr>
        <sz val="11"/>
        <color theme="1"/>
        <rFont val="Arial"/>
        <family val="2"/>
      </rPr>
      <t xml:space="preserve">, project type/category, credit volumes, prices, NDC-related assumptions, and selected policy parameters (e.g., SOP, OMGE, buffers, foreign exchange). Explanations are provided in </t>
    </r>
    <r>
      <rPr>
        <sz val="11"/>
        <color theme="6" tint="-0.249977111117893"/>
        <rFont val="Arial"/>
        <family val="2"/>
      </rPr>
      <t>blue.</t>
    </r>
  </si>
  <si>
    <r>
      <rPr>
        <b/>
        <sz val="11"/>
        <color theme="1"/>
        <rFont val="Arial"/>
        <family val="2"/>
      </rPr>
      <t>User action</t>
    </r>
    <r>
      <rPr>
        <sz val="11"/>
        <color theme="1"/>
        <rFont val="Arial"/>
        <family val="2"/>
      </rPr>
      <t xml:space="preserve">: Required to fill in the </t>
    </r>
    <r>
      <rPr>
        <b/>
        <sz val="11"/>
        <color rgb="FFEA7B5B"/>
        <rFont val="Arial"/>
        <family val="2"/>
      </rPr>
      <t>orange cells</t>
    </r>
    <r>
      <rPr>
        <sz val="11"/>
        <color theme="1"/>
        <rFont val="Arial"/>
        <family val="2"/>
      </rPr>
      <t>.</t>
    </r>
  </si>
  <si>
    <r>
      <t>Étapes à suivre (</t>
    </r>
    <r>
      <rPr>
        <b/>
        <sz val="11"/>
        <color rgb="FFEA7B5B"/>
        <rFont val="Arial"/>
        <family val="2"/>
      </rPr>
      <t>cellules oranges</t>
    </r>
    <r>
      <rPr>
        <sz val="11"/>
        <color theme="1"/>
        <rFont val="Arial"/>
        <family val="2"/>
      </rPr>
      <t>, en ordre):</t>
    </r>
  </si>
  <si>
    <r>
      <t xml:space="preserve">All grey cells present in the sheet are automatic calculations, no action is required on </t>
    </r>
    <r>
      <rPr>
        <sz val="11"/>
        <color theme="0" tint="-0.249977111117893"/>
        <rFont val="Arial"/>
        <family val="2"/>
      </rPr>
      <t>grey cells</t>
    </r>
    <r>
      <rPr>
        <sz val="11"/>
        <color theme="1"/>
        <rFont val="Arial"/>
        <family val="2"/>
      </rPr>
      <t xml:space="preserve"> but the user should review the results and interpret their meaning.</t>
    </r>
  </si>
  <si>
    <r>
      <t xml:space="preserve">Toutes les cellules grises présentes dans la feuille sont des calculs automatiques ; aucune action n’est requise sur les </t>
    </r>
    <r>
      <rPr>
        <sz val="11"/>
        <color theme="0" tint="-0.249977111117893"/>
        <rFont val="Arial"/>
        <family val="2"/>
      </rPr>
      <t>cellules grises</t>
    </r>
    <r>
      <rPr>
        <sz val="11"/>
        <color theme="1"/>
        <rFont val="Arial"/>
        <family val="2"/>
      </rPr>
      <t>.</t>
    </r>
  </si>
  <si>
    <t>This sheet is optional if the administrative fees and levies in the F&amp;L calculations sheet do not cover the government costs, or if the user would like to include simplified aggregate numbers for government costs instead. This allows the user to include an aggregate amount for overall costs. This is reflected in 3. Gov Dashboard.</t>
  </si>
  <si>
    <t>Cette feuille est facultative si les frais administratifs et prélèvements indiqués dans l’onglet « F&amp;L Calculations » ne couvrent pas les coûts du gouvernement, ou si l’utilisateur souhaite plutôt inclure des montants agrégés simplifiés pour les coûts du gouvernement. Cela permet à l’utilisateur d’inclure un montant global pour l’ensemble des coûts. Cela est reflété dans l’onglet « 3. Gov Dashboard ».</t>
  </si>
  <si>
    <t>Price development in the future can influence the levy governments might apply today. This sheet helps you look at the price over time.</t>
  </si>
  <si>
    <t>Please note that this sheet is optional</t>
  </si>
  <si>
    <t>Version 1.0</t>
  </si>
  <si>
    <t>02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</si>
</sst>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 #,##0.00_ ;_ * \-#,##0.00_ ;_ * &quot;-&quot;??_ ;_ @_ "/>
    <numFmt numFmtId="164" formatCode="\$#,##0.00"/>
    <numFmt numFmtId="165" formatCode="_-[$$-409]* #,##0_ ;_-[$$-409]* \-#,##0\ ;_-[$$-409]* &quot;-&quot;??_ ;_-@_ "/>
    <numFmt numFmtId="166" formatCode="_-[$$-409]* #,##0.00_ ;_-[$$-409]* \-#,##0.00\ ;_-[$$-409]* &quot;-&quot;??_ ;_-@_ "/>
    <numFmt numFmtId="167" formatCode="_ * #,##0_ ;_ * \-#,##0_ ;_ * &quot;-&quot;??_ ;_ @_ "/>
    <numFmt numFmtId="168" formatCode="#,##0.000"/>
    <numFmt numFmtId="169" formatCode="0.000"/>
    <numFmt numFmtId="170" formatCode="_ * #,##0.000_ ;_ * \-#,##0.000_ ;_ * &quot;-&quot;??_ ;_ @_ "/>
    <numFmt numFmtId="171" formatCode="_ * #,##0_ ;_ * \-#,##0_ ;_ * &quot;-&quot;?_ ;_ @_ "/>
    <numFmt numFmtId="172" formatCode="_(* #,##0.00_);_(* \(#,##0.00\);_(* &quot;-&quot;??_);_(@_)"/>
  </numFmts>
  <fonts count="132" x14ac:knownFonts="1">
    <font>
      <sz val="12"/>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b/>
      <sz val="12"/>
      <color theme="1"/>
      <name val="Arial"/>
      <family val="2"/>
      <scheme val="minor"/>
    </font>
    <font>
      <b/>
      <sz val="11"/>
      <color rgb="FFFFFFFF"/>
      <name val="Calibri"/>
      <family val="2"/>
    </font>
    <font>
      <sz val="11"/>
      <color theme="1"/>
      <name val="Arial"/>
      <family val="2"/>
      <scheme val="minor"/>
    </font>
    <font>
      <b/>
      <sz val="11"/>
      <color theme="1"/>
      <name val="Arial"/>
      <family val="2"/>
      <scheme val="minor"/>
    </font>
    <font>
      <sz val="12"/>
      <color theme="1"/>
      <name val="Arial"/>
      <family val="2"/>
      <scheme val="minor"/>
    </font>
    <font>
      <b/>
      <sz val="11"/>
      <color theme="0"/>
      <name val="Arial"/>
      <family val="2"/>
      <scheme val="minor"/>
    </font>
    <font>
      <sz val="11"/>
      <color theme="0"/>
      <name val="Arial"/>
      <family val="2"/>
      <scheme val="minor"/>
    </font>
    <font>
      <sz val="11"/>
      <name val="Arial"/>
      <family val="2"/>
      <scheme val="minor"/>
    </font>
    <font>
      <b/>
      <u/>
      <sz val="11"/>
      <color theme="1"/>
      <name val="Arial"/>
      <family val="2"/>
      <scheme val="minor"/>
    </font>
    <font>
      <i/>
      <sz val="11"/>
      <color theme="1"/>
      <name val="Arial"/>
      <family val="2"/>
      <scheme val="minor"/>
    </font>
    <font>
      <u/>
      <sz val="12"/>
      <color theme="10"/>
      <name val="Arial"/>
      <family val="2"/>
      <scheme val="minor"/>
    </font>
    <font>
      <b/>
      <sz val="11"/>
      <name val="Arial"/>
      <family val="2"/>
      <scheme val="minor"/>
    </font>
    <font>
      <i/>
      <sz val="12"/>
      <color theme="1"/>
      <name val="Arial"/>
      <family val="2"/>
      <scheme val="minor"/>
    </font>
    <font>
      <u/>
      <sz val="11"/>
      <color theme="1"/>
      <name val="Arial"/>
      <family val="2"/>
      <scheme val="minor"/>
    </font>
    <font>
      <sz val="12"/>
      <color theme="1"/>
      <name val="Arial"/>
      <family val="2"/>
    </font>
    <font>
      <b/>
      <sz val="14"/>
      <color theme="0"/>
      <name val="Arial"/>
      <family val="2"/>
      <scheme val="minor"/>
    </font>
    <font>
      <sz val="12"/>
      <color rgb="FFBBBBBB"/>
      <name val="Arial"/>
      <family val="2"/>
      <scheme val="minor"/>
    </font>
    <font>
      <b/>
      <sz val="24"/>
      <color theme="0"/>
      <name val="Arial"/>
      <family val="2"/>
      <scheme val="minor"/>
    </font>
    <font>
      <sz val="11"/>
      <color rgb="FFBBBBBB"/>
      <name val="Arial"/>
      <family val="2"/>
      <scheme val="minor"/>
    </font>
    <font>
      <sz val="10"/>
      <color rgb="FF0F1115"/>
      <name val="Consolas"/>
      <family val="3"/>
    </font>
    <font>
      <sz val="8"/>
      <name val="Arial"/>
      <family val="2"/>
      <scheme val="minor"/>
    </font>
    <font>
      <sz val="12"/>
      <color rgb="FFFF0000"/>
      <name val="Arial"/>
      <family val="2"/>
    </font>
    <font>
      <sz val="12"/>
      <color rgb="FFBBBBBB"/>
      <name val="Arial"/>
      <family val="2"/>
    </font>
    <font>
      <b/>
      <sz val="16"/>
      <color theme="1"/>
      <name val="Arial"/>
      <family val="2"/>
    </font>
    <font>
      <b/>
      <sz val="12"/>
      <color rgb="FFFF0000"/>
      <name val="Arial"/>
      <family val="2"/>
    </font>
    <font>
      <b/>
      <sz val="14"/>
      <color theme="0"/>
      <name val="Arial"/>
      <family val="2"/>
    </font>
    <font>
      <b/>
      <sz val="20"/>
      <color theme="0"/>
      <name val="Arial"/>
      <family val="2"/>
    </font>
    <font>
      <sz val="11"/>
      <color rgb="FFC00000"/>
      <name val="Arial"/>
      <family val="2"/>
    </font>
    <font>
      <b/>
      <sz val="24"/>
      <color theme="0"/>
      <name val="Arial Black"/>
      <family val="2"/>
    </font>
    <font>
      <sz val="24"/>
      <color theme="0"/>
      <name val="Arial Black"/>
      <family val="2"/>
    </font>
    <font>
      <sz val="22"/>
      <color theme="1"/>
      <name val="Arial"/>
      <family val="2"/>
    </font>
    <font>
      <sz val="11"/>
      <color theme="1"/>
      <name val="Arial"/>
      <family val="2"/>
    </font>
    <font>
      <b/>
      <sz val="14"/>
      <color rgb="FF1F4E79"/>
      <name val="Arial"/>
      <family val="2"/>
    </font>
    <font>
      <b/>
      <sz val="11"/>
      <color theme="0"/>
      <name val="Arial"/>
      <family val="2"/>
    </font>
    <font>
      <b/>
      <sz val="11"/>
      <color theme="1"/>
      <name val="Arial"/>
      <family val="2"/>
    </font>
    <font>
      <b/>
      <u/>
      <sz val="11"/>
      <color theme="1"/>
      <name val="Arial"/>
      <family val="2"/>
    </font>
    <font>
      <b/>
      <i/>
      <sz val="11"/>
      <color theme="1"/>
      <name val="Arial"/>
      <family val="2"/>
    </font>
    <font>
      <b/>
      <sz val="11"/>
      <color theme="3"/>
      <name val="Arial"/>
      <family val="2"/>
    </font>
    <font>
      <i/>
      <sz val="10"/>
      <color theme="6"/>
      <name val="Arial"/>
      <family val="2"/>
    </font>
    <font>
      <i/>
      <sz val="11"/>
      <color theme="1"/>
      <name val="Arial"/>
      <family val="2"/>
    </font>
    <font>
      <vertAlign val="subscript"/>
      <sz val="11"/>
      <color theme="1"/>
      <name val="Arial"/>
      <family val="2"/>
    </font>
    <font>
      <b/>
      <sz val="11"/>
      <color theme="2" tint="-0.249977111117893"/>
      <name val="Arial"/>
      <family val="2"/>
    </font>
    <font>
      <b/>
      <sz val="11"/>
      <color theme="3"/>
      <name val="Arial"/>
      <family val="2"/>
      <scheme val="minor"/>
    </font>
    <font>
      <sz val="12"/>
      <color theme="0"/>
      <name val="Arial"/>
      <family val="2"/>
      <scheme val="minor"/>
    </font>
    <font>
      <i/>
      <sz val="10"/>
      <color theme="6"/>
      <name val="Arial"/>
      <family val="2"/>
      <scheme val="minor"/>
    </font>
    <font>
      <b/>
      <sz val="24"/>
      <color theme="1"/>
      <name val="Arial"/>
      <family val="2"/>
      <scheme val="minor"/>
    </font>
    <font>
      <b/>
      <sz val="24"/>
      <color theme="0"/>
      <name val="Arial"/>
      <family val="2"/>
      <scheme val="major"/>
    </font>
    <font>
      <sz val="11"/>
      <name val="Arial"/>
      <family val="2"/>
      <scheme val="major"/>
    </font>
    <font>
      <sz val="12"/>
      <color theme="1"/>
      <name val="Arial"/>
      <family val="2"/>
      <scheme val="major"/>
    </font>
    <font>
      <sz val="11"/>
      <color theme="1"/>
      <name val="Arial"/>
      <family val="2"/>
      <scheme val="major"/>
    </font>
    <font>
      <b/>
      <sz val="11"/>
      <name val="Arial"/>
      <family val="2"/>
      <scheme val="major"/>
    </font>
    <font>
      <sz val="12"/>
      <name val="Arial"/>
      <family val="2"/>
      <scheme val="major"/>
    </font>
    <font>
      <sz val="24"/>
      <color theme="0"/>
      <name val="Aptos Black"/>
      <family val="2"/>
    </font>
    <font>
      <b/>
      <sz val="20"/>
      <color theme="0"/>
      <name val="Arial"/>
      <family val="2"/>
      <scheme val="minor"/>
    </font>
    <font>
      <b/>
      <sz val="11"/>
      <color theme="9"/>
      <name val="Arial"/>
      <family val="2"/>
    </font>
    <font>
      <sz val="11"/>
      <color theme="0"/>
      <name val="Arial"/>
      <family val="2"/>
      <scheme val="major"/>
    </font>
    <font>
      <sz val="11"/>
      <color theme="0"/>
      <name val="Arial"/>
      <family val="2"/>
    </font>
    <font>
      <sz val="12"/>
      <color theme="0"/>
      <name val="Arial"/>
      <family val="2"/>
    </font>
    <font>
      <sz val="12"/>
      <color theme="0"/>
      <name val="Arial"/>
      <family val="2"/>
      <scheme val="major"/>
    </font>
    <font>
      <b/>
      <sz val="11"/>
      <color theme="0"/>
      <name val="Arial"/>
      <family val="2"/>
      <scheme val="major"/>
    </font>
    <font>
      <b/>
      <sz val="12"/>
      <color theme="0"/>
      <name val="Arial"/>
      <family val="2"/>
      <scheme val="minor"/>
    </font>
    <font>
      <sz val="20"/>
      <color theme="3"/>
      <name val="Arial Black"/>
      <family val="2"/>
    </font>
    <font>
      <u/>
      <sz val="11"/>
      <color theme="0"/>
      <name val="Arial"/>
      <family val="2"/>
      <scheme val="minor"/>
    </font>
    <font>
      <i/>
      <sz val="9"/>
      <color theme="6"/>
      <name val="Arial"/>
      <family val="2"/>
      <scheme val="minor"/>
    </font>
    <font>
      <sz val="9"/>
      <color theme="1"/>
      <name val="Arial"/>
      <family val="2"/>
      <scheme val="minor"/>
    </font>
    <font>
      <i/>
      <sz val="9"/>
      <color theme="6"/>
      <name val="Arial"/>
      <family val="2"/>
    </font>
    <font>
      <u/>
      <sz val="11"/>
      <color theme="5"/>
      <name val="Arial"/>
      <family val="2"/>
      <scheme val="minor"/>
    </font>
    <font>
      <i/>
      <sz val="9"/>
      <color theme="2" tint="-0.249977111117893"/>
      <name val="Arial"/>
      <family val="2"/>
    </font>
    <font>
      <i/>
      <sz val="9"/>
      <color theme="2" tint="-0.249977111117893"/>
      <name val="Arial"/>
      <family val="2"/>
      <scheme val="minor"/>
    </font>
    <font>
      <b/>
      <i/>
      <sz val="11"/>
      <color theme="9" tint="-0.249977111117893"/>
      <name val="Arial"/>
      <family val="2"/>
      <scheme val="minor"/>
    </font>
    <font>
      <sz val="12"/>
      <name val="Arial"/>
      <family val="2"/>
      <scheme val="minor"/>
    </font>
    <font>
      <b/>
      <i/>
      <sz val="12"/>
      <color theme="0"/>
      <name val="Arial"/>
      <family val="2"/>
      <scheme val="minor"/>
    </font>
    <font>
      <b/>
      <u/>
      <sz val="12"/>
      <color theme="0"/>
      <name val="Arial"/>
      <family val="2"/>
      <scheme val="minor"/>
    </font>
    <font>
      <b/>
      <i/>
      <sz val="11"/>
      <color rgb="FFC00000"/>
      <name val="Arial"/>
      <family val="2"/>
      <scheme val="minor"/>
    </font>
    <font>
      <i/>
      <sz val="12"/>
      <color theme="1"/>
      <name val="Arial"/>
      <family val="2"/>
    </font>
    <font>
      <b/>
      <sz val="10"/>
      <color theme="6"/>
      <name val="Arial"/>
      <family val="2"/>
      <scheme val="minor"/>
    </font>
    <font>
      <sz val="9"/>
      <color theme="6"/>
      <name val="Arial"/>
      <family val="2"/>
      <scheme val="minor"/>
    </font>
    <font>
      <sz val="10"/>
      <color theme="6"/>
      <name val="Arial"/>
      <family val="2"/>
      <scheme val="minor"/>
    </font>
    <font>
      <sz val="12"/>
      <color theme="6"/>
      <name val="Arial Black"/>
      <family val="2"/>
    </font>
    <font>
      <i/>
      <sz val="12"/>
      <color rgb="FFBBBBBB"/>
      <name val="Arial"/>
      <family val="2"/>
      <scheme val="minor"/>
    </font>
    <font>
      <sz val="9"/>
      <color theme="6"/>
      <name val="Arial"/>
      <family val="2"/>
    </font>
    <font>
      <sz val="10"/>
      <color theme="6"/>
      <name val="Arial"/>
      <family val="2"/>
    </font>
    <font>
      <sz val="9"/>
      <color theme="5"/>
      <name val="Arial"/>
      <family val="2"/>
      <scheme val="minor"/>
    </font>
    <font>
      <sz val="9"/>
      <color theme="2" tint="-0.249977111117893"/>
      <name val="Arial"/>
      <family val="2"/>
      <scheme val="minor"/>
    </font>
    <font>
      <sz val="9"/>
      <color rgb="FFFF0000"/>
      <name val="Arial (Body)"/>
    </font>
    <font>
      <b/>
      <i/>
      <sz val="11"/>
      <color rgb="FFFF0000"/>
      <name val="Arial (Body)"/>
    </font>
    <font>
      <sz val="12"/>
      <color rgb="FF65CAD1"/>
      <name val="Arial Black"/>
      <family val="2"/>
    </font>
    <font>
      <sz val="9"/>
      <color rgb="FF65CAD1"/>
      <name val="Arial"/>
      <family val="2"/>
      <scheme val="minor"/>
    </font>
    <font>
      <sz val="9"/>
      <color rgb="FF28B6BE"/>
      <name val="Arial"/>
      <family val="2"/>
      <scheme val="minor"/>
    </font>
    <font>
      <i/>
      <sz val="12"/>
      <color theme="1"/>
      <name val="Segoe UI"/>
      <family val="2"/>
    </font>
    <font>
      <sz val="10"/>
      <color theme="1"/>
      <name val="Arial"/>
      <family val="2"/>
    </font>
    <font>
      <sz val="10"/>
      <color theme="0"/>
      <name val="Arial"/>
      <family val="2"/>
    </font>
    <font>
      <u/>
      <sz val="11"/>
      <color theme="1"/>
      <name val="Arial"/>
      <family val="2"/>
    </font>
    <font>
      <b/>
      <sz val="11"/>
      <color rgb="FFE66844"/>
      <name val="Arial"/>
      <family val="2"/>
    </font>
    <font>
      <b/>
      <sz val="11"/>
      <color theme="1" tint="0.79998168889431442"/>
      <name val="Arial"/>
      <family val="2"/>
    </font>
    <font>
      <sz val="11"/>
      <color theme="6"/>
      <name val="Arial"/>
      <family val="2"/>
      <scheme val="minor"/>
    </font>
    <font>
      <sz val="11"/>
      <color theme="6" tint="-0.249977111117893"/>
      <name val="Arial"/>
      <family val="2"/>
    </font>
    <font>
      <sz val="12"/>
      <color theme="10"/>
      <name val="Arial"/>
      <family val="2"/>
      <scheme val="minor"/>
    </font>
    <font>
      <sz val="9"/>
      <color rgb="FFFF0000"/>
      <name val="Arial"/>
      <family val="2"/>
      <scheme val="minor"/>
    </font>
    <font>
      <b/>
      <sz val="9"/>
      <color rgb="FF65CAD1"/>
      <name val="Arial"/>
      <family val="2"/>
      <scheme val="minor"/>
    </font>
    <font>
      <b/>
      <i/>
      <sz val="9"/>
      <color rgb="FF65CAD1"/>
      <name val="Arial"/>
      <family val="2"/>
      <scheme val="minor"/>
    </font>
    <font>
      <i/>
      <sz val="11"/>
      <color rgb="FF65CAD1"/>
      <name val="Arial"/>
      <family val="2"/>
      <scheme val="minor"/>
    </font>
    <font>
      <sz val="9"/>
      <color rgb="FFC00000"/>
      <name val="Arial (Body)"/>
    </font>
    <font>
      <i/>
      <sz val="11"/>
      <color rgb="FFC00000"/>
      <name val="Arial"/>
      <family val="2"/>
    </font>
    <font>
      <sz val="11"/>
      <name val="Arial"/>
      <family val="2"/>
    </font>
    <font>
      <b/>
      <sz val="11"/>
      <name val="Arial"/>
      <family val="2"/>
    </font>
    <font>
      <sz val="9"/>
      <color rgb="FFC00000"/>
      <name val="Arial"/>
      <family val="2"/>
    </font>
    <font>
      <b/>
      <sz val="11"/>
      <color rgb="FF333333"/>
      <name val="Arial"/>
      <family val="2"/>
      <scheme val="minor"/>
    </font>
    <font>
      <b/>
      <sz val="11"/>
      <color rgb="FFEA7B5B"/>
      <name val="Arial"/>
      <family val="2"/>
    </font>
    <font>
      <sz val="11"/>
      <color theme="0" tint="-0.249977111117893"/>
      <name val="Arial"/>
      <family val="2"/>
    </font>
    <font>
      <i/>
      <sz val="9"/>
      <color rgb="FFC00000"/>
      <name val="Arial"/>
      <family val="2"/>
      <scheme val="minor"/>
    </font>
    <font>
      <sz val="12"/>
      <color rgb="FFC00000"/>
      <name val="Arial"/>
      <family val="2"/>
      <scheme val="minor"/>
    </font>
    <font>
      <sz val="39"/>
      <color theme="0"/>
      <name val="Arial"/>
      <family val="2"/>
      <scheme val="minor"/>
    </font>
    <font>
      <sz val="39"/>
      <color theme="1"/>
      <name val="Arial"/>
      <family val="2"/>
      <scheme val="minor"/>
    </font>
    <font>
      <i/>
      <sz val="30"/>
      <color theme="0"/>
      <name val="Arial"/>
      <family val="2"/>
      <scheme val="minor"/>
    </font>
    <font>
      <i/>
      <sz val="33"/>
      <color theme="0"/>
      <name val="Arial"/>
      <family val="2"/>
      <scheme val="minor"/>
    </font>
    <font>
      <i/>
      <sz val="33"/>
      <color theme="1"/>
      <name val="Arial"/>
      <family val="2"/>
      <scheme val="minor"/>
    </font>
    <font>
      <sz val="18"/>
      <color theme="1"/>
      <name val="Arial"/>
      <family val="2"/>
      <scheme val="minor"/>
    </font>
    <font>
      <b/>
      <sz val="18"/>
      <color theme="0"/>
      <name val="Arial"/>
      <family val="2"/>
    </font>
    <font>
      <sz val="18"/>
      <color theme="0"/>
      <name val="Arial"/>
      <family val="2"/>
    </font>
    <font>
      <b/>
      <sz val="40"/>
      <color theme="0"/>
      <name val="Arial Black"/>
      <family val="2"/>
    </font>
    <font>
      <u/>
      <sz val="12"/>
      <color theme="0"/>
      <name val="Arial"/>
      <family val="2"/>
      <scheme val="minor"/>
    </font>
    <font>
      <u/>
      <sz val="12"/>
      <name val="Arial"/>
      <family val="2"/>
      <scheme val="minor"/>
    </font>
  </fonts>
  <fills count="1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3"/>
        <bgColor indexed="64"/>
      </patternFill>
    </fill>
    <fill>
      <patternFill patternType="solid">
        <fgColor theme="0"/>
        <bgColor indexed="64"/>
      </patternFill>
    </fill>
    <fill>
      <patternFill patternType="solid">
        <fgColor theme="0" tint="-0.249977111117893"/>
        <bgColor indexed="64"/>
      </patternFill>
    </fill>
    <fill>
      <patternFill patternType="solid">
        <fgColor theme="2"/>
        <bgColor indexed="64"/>
      </patternFill>
    </fill>
    <fill>
      <patternFill patternType="solid">
        <fgColor theme="2" tint="-9.9978637043366805E-2"/>
        <bgColor indexed="64"/>
      </patternFill>
    </fill>
    <fill>
      <patternFill patternType="solid">
        <fgColor rgb="FFE66844"/>
        <bgColor indexed="64"/>
      </patternFill>
    </fill>
    <fill>
      <patternFill patternType="solid">
        <fgColor theme="9"/>
        <bgColor indexed="64"/>
      </patternFill>
    </fill>
    <fill>
      <patternFill patternType="solid">
        <fgColor rgb="FFEDEEF7"/>
        <bgColor indexed="64"/>
      </patternFill>
    </fill>
    <fill>
      <patternFill patternType="solid">
        <fgColor rgb="FFFFFFFF"/>
        <bgColor rgb="FF000000"/>
      </patternFill>
    </fill>
    <fill>
      <patternFill patternType="solid">
        <fgColor rgb="FFD6D6D6"/>
        <bgColor indexed="64"/>
      </patternFill>
    </fill>
    <fill>
      <patternFill patternType="solid">
        <fgColor theme="9" tint="0.39997558519241921"/>
        <bgColor indexed="64"/>
      </patternFill>
    </fill>
    <fill>
      <patternFill patternType="solid">
        <fgColor theme="3" tint="0.79998168889431442"/>
        <bgColor indexed="64"/>
      </patternFill>
    </fill>
  </fills>
  <borders count="33">
    <border>
      <left/>
      <right/>
      <top/>
      <bottom/>
      <diagonal/>
    </border>
    <border>
      <left style="thin">
        <color rgb="FFD9D9D9"/>
      </left>
      <right style="thin">
        <color rgb="FFD9D9D9"/>
      </right>
      <top style="thin">
        <color rgb="FFD9D9D9"/>
      </top>
      <bottom style="thin">
        <color rgb="FFD9D9D9"/>
      </bottom>
      <diagonal/>
    </border>
    <border>
      <left/>
      <right style="thin">
        <color rgb="FFD9D9D9"/>
      </right>
      <top style="thin">
        <color rgb="FFD9D9D9"/>
      </top>
      <bottom style="thin">
        <color rgb="FFD9D9D9"/>
      </bottom>
      <diagonal/>
    </border>
    <border>
      <left/>
      <right style="thin">
        <color rgb="FFD9D9D9"/>
      </right>
      <top/>
      <bottom style="thin">
        <color rgb="FFD9D9D9"/>
      </bottom>
      <diagonal/>
    </border>
    <border>
      <left style="thin">
        <color rgb="FFD9D9D9"/>
      </left>
      <right style="thin">
        <color rgb="FFD9D9D9"/>
      </right>
      <top/>
      <bottom style="thin">
        <color rgb="FFD9D9D9"/>
      </bottom>
      <diagonal/>
    </border>
    <border>
      <left style="medium">
        <color indexed="64"/>
      </left>
      <right style="medium">
        <color indexed="64"/>
      </right>
      <top style="medium">
        <color indexed="64"/>
      </top>
      <bottom style="medium">
        <color indexed="64"/>
      </bottom>
      <diagonal/>
    </border>
    <border>
      <left/>
      <right style="thin">
        <color rgb="FFD9D9D9"/>
      </right>
      <top style="thin">
        <color rgb="FFD9D9D9"/>
      </top>
      <bottom/>
      <diagonal/>
    </border>
    <border>
      <left style="thin">
        <color rgb="FFD9D9D9"/>
      </left>
      <right style="thin">
        <color rgb="FFD9D9D9"/>
      </right>
      <top style="thin">
        <color rgb="FFD9D9D9"/>
      </top>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style="medium">
        <color theme="3"/>
      </right>
      <top style="medium">
        <color theme="3"/>
      </top>
      <bottom style="medium">
        <color theme="3"/>
      </bottom>
      <diagonal/>
    </border>
    <border>
      <left style="medium">
        <color theme="3"/>
      </left>
      <right/>
      <top style="medium">
        <color theme="3"/>
      </top>
      <bottom style="medium">
        <color theme="3"/>
      </bottom>
      <diagonal/>
    </border>
    <border>
      <left/>
      <right/>
      <top style="medium">
        <color theme="3"/>
      </top>
      <bottom style="medium">
        <color theme="3"/>
      </bottom>
      <diagonal/>
    </border>
    <border>
      <left/>
      <right style="medium">
        <color theme="3"/>
      </right>
      <top style="medium">
        <color theme="3"/>
      </top>
      <bottom style="medium">
        <color theme="3"/>
      </bottom>
      <diagonal/>
    </border>
    <border>
      <left/>
      <right/>
      <top/>
      <bottom style="thin">
        <color theme="3" tint="0.79998168889431442"/>
      </bottom>
      <diagonal/>
    </border>
    <border>
      <left/>
      <right/>
      <top style="thin">
        <color theme="3" tint="0.79998168889431442"/>
      </top>
      <bottom style="thin">
        <color theme="3" tint="0.79998168889431442"/>
      </bottom>
      <diagonal/>
    </border>
    <border>
      <left/>
      <right/>
      <top style="medium">
        <color theme="3"/>
      </top>
      <bottom style="thin">
        <color theme="3" tint="0.79998168889431442"/>
      </bottom>
      <diagonal/>
    </border>
    <border>
      <left/>
      <right style="medium">
        <color theme="3"/>
      </right>
      <top style="medium">
        <color theme="3"/>
      </top>
      <bottom style="thin">
        <color theme="3" tint="0.79998168889431442"/>
      </bottom>
      <diagonal/>
    </border>
    <border>
      <left/>
      <right style="medium">
        <color theme="3"/>
      </right>
      <top style="thin">
        <color theme="3" tint="0.79998168889431442"/>
      </top>
      <bottom style="thin">
        <color theme="3" tint="0.79998168889431442"/>
      </bottom>
      <diagonal/>
    </border>
    <border>
      <left style="medium">
        <color theme="3"/>
      </left>
      <right/>
      <top style="medium">
        <color theme="3"/>
      </top>
      <bottom style="thin">
        <color theme="3" tint="0.79998168889431442"/>
      </bottom>
      <diagonal/>
    </border>
    <border>
      <left style="medium">
        <color theme="3"/>
      </left>
      <right/>
      <top style="thin">
        <color theme="3" tint="0.79998168889431442"/>
      </top>
      <bottom style="thin">
        <color theme="3" tint="0.79998168889431442"/>
      </bottom>
      <diagonal/>
    </border>
    <border>
      <left style="medium">
        <color theme="3"/>
      </left>
      <right/>
      <top/>
      <bottom style="thin">
        <color theme="3" tint="0.79998168889431442"/>
      </bottom>
      <diagonal/>
    </border>
    <border>
      <left/>
      <right style="medium">
        <color theme="3"/>
      </right>
      <top/>
      <bottom style="thin">
        <color theme="3" tint="0.79998168889431442"/>
      </bottom>
      <diagonal/>
    </border>
    <border>
      <left/>
      <right/>
      <top/>
      <bottom style="medium">
        <color rgb="FF384087"/>
      </bottom>
      <diagonal/>
    </border>
    <border>
      <left style="thin">
        <color theme="0"/>
      </left>
      <right style="thin">
        <color theme="0"/>
      </right>
      <top style="thin">
        <color theme="0"/>
      </top>
      <bottom style="thin">
        <color theme="0"/>
      </bottom>
      <diagonal/>
    </border>
    <border>
      <left style="thin">
        <color theme="0"/>
      </left>
      <right/>
      <top/>
      <bottom/>
      <diagonal/>
    </border>
    <border>
      <left/>
      <right style="thin">
        <color theme="0"/>
      </right>
      <top/>
      <bottom/>
      <diagonal/>
    </border>
  </borders>
  <cellStyleXfs count="6">
    <xf numFmtId="0" fontId="0" fillId="0" borderId="0"/>
    <xf numFmtId="0" fontId="11" fillId="0" borderId="0"/>
    <xf numFmtId="9" fontId="13" fillId="0" borderId="0" applyFont="0" applyFill="0" applyBorder="0" applyAlignment="0" applyProtection="0"/>
    <xf numFmtId="43" fontId="13" fillId="0" borderId="0" applyFont="0" applyFill="0" applyBorder="0" applyAlignment="0" applyProtection="0"/>
    <xf numFmtId="0" fontId="19" fillId="0" borderId="0" applyNumberFormat="0" applyFill="0" applyBorder="0" applyAlignment="0" applyProtection="0"/>
    <xf numFmtId="0" fontId="1" fillId="0" borderId="0"/>
  </cellStyleXfs>
  <cellXfs count="666">
    <xf numFmtId="0" fontId="0" fillId="0" borderId="0" xfId="0"/>
    <xf numFmtId="0" fontId="11" fillId="0" borderId="0" xfId="1"/>
    <xf numFmtId="0" fontId="10" fillId="0" borderId="3" xfId="1" applyFont="1" applyBorder="1" applyAlignment="1">
      <alignment horizontal="center" vertical="center"/>
    </xf>
    <xf numFmtId="0" fontId="10" fillId="0" borderId="4" xfId="1" applyFont="1" applyBorder="1" applyAlignment="1">
      <alignment horizontal="center" vertical="center"/>
    </xf>
    <xf numFmtId="0" fontId="10" fillId="0" borderId="4" xfId="0" applyFont="1" applyBorder="1" applyAlignment="1">
      <alignment horizontal="center" vertical="center"/>
    </xf>
    <xf numFmtId="0" fontId="11" fillId="0" borderId="2" xfId="1" applyBorder="1" applyAlignment="1">
      <alignment vertical="center"/>
    </xf>
    <xf numFmtId="0" fontId="11" fillId="0" borderId="1" xfId="1" applyBorder="1" applyAlignment="1">
      <alignment vertical="center"/>
    </xf>
    <xf numFmtId="0" fontId="0" fillId="0" borderId="1" xfId="0" applyBorder="1" applyAlignment="1">
      <alignment vertical="center"/>
    </xf>
    <xf numFmtId="0" fontId="8" fillId="0" borderId="0" xfId="1" applyFont="1"/>
    <xf numFmtId="0" fontId="7" fillId="0" borderId="0" xfId="1" applyFont="1"/>
    <xf numFmtId="0" fontId="40" fillId="10" borderId="20" xfId="1" applyFont="1" applyFill="1" applyBorder="1" applyAlignment="1" applyProtection="1">
      <alignment vertical="center"/>
      <protection locked="0"/>
    </xf>
    <xf numFmtId="0" fontId="40" fillId="10" borderId="21" xfId="1" applyFont="1" applyFill="1" applyBorder="1" applyAlignment="1" applyProtection="1">
      <alignment vertical="center"/>
      <protection locked="0"/>
    </xf>
    <xf numFmtId="167" fontId="40" fillId="10" borderId="21" xfId="3" applyNumberFormat="1" applyFont="1" applyFill="1" applyBorder="1" applyAlignment="1" applyProtection="1">
      <alignment vertical="center"/>
      <protection locked="0"/>
    </xf>
    <xf numFmtId="3" fontId="40" fillId="10" borderId="21" xfId="1" applyNumberFormat="1" applyFont="1" applyFill="1" applyBorder="1" applyAlignment="1" applyProtection="1">
      <alignment vertical="center"/>
      <protection locked="0"/>
    </xf>
    <xf numFmtId="164" fontId="40" fillId="10" borderId="21" xfId="1" applyNumberFormat="1" applyFont="1" applyFill="1" applyBorder="1" applyAlignment="1" applyProtection="1">
      <alignment vertical="center"/>
      <protection locked="0"/>
    </xf>
    <xf numFmtId="9" fontId="40" fillId="10" borderId="22" xfId="2" applyFont="1" applyFill="1" applyBorder="1" applyAlignment="1" applyProtection="1">
      <alignment vertical="center"/>
      <protection locked="0"/>
    </xf>
    <xf numFmtId="9" fontId="40" fillId="10" borderId="21" xfId="2" applyFont="1" applyFill="1" applyBorder="1" applyAlignment="1" applyProtection="1">
      <alignment vertical="center"/>
      <protection locked="0"/>
    </xf>
    <xf numFmtId="9" fontId="40" fillId="10" borderId="20" xfId="2" applyFont="1" applyFill="1" applyBorder="1" applyAlignment="1" applyProtection="1">
      <alignment vertical="center"/>
      <protection locked="0"/>
    </xf>
    <xf numFmtId="165" fontId="40" fillId="10" borderId="20" xfId="3" applyNumberFormat="1" applyFont="1" applyFill="1" applyBorder="1" applyAlignment="1" applyProtection="1">
      <alignment vertical="center"/>
      <protection locked="0"/>
    </xf>
    <xf numFmtId="165" fontId="40" fillId="10" borderId="21" xfId="2" applyNumberFormat="1" applyFont="1" applyFill="1" applyBorder="1" applyAlignment="1" applyProtection="1">
      <alignment vertical="center"/>
      <protection locked="0"/>
    </xf>
    <xf numFmtId="169" fontId="40" fillId="10" borderId="20" xfId="0" applyNumberFormat="1" applyFont="1" applyFill="1" applyBorder="1" applyAlignment="1" applyProtection="1">
      <alignment vertical="center"/>
      <protection locked="0"/>
    </xf>
    <xf numFmtId="168" fontId="40" fillId="10" borderId="21" xfId="1" applyNumberFormat="1" applyFont="1" applyFill="1" applyBorder="1" applyAlignment="1" applyProtection="1">
      <alignment vertical="center"/>
      <protection locked="0"/>
    </xf>
    <xf numFmtId="43" fontId="16" fillId="8" borderId="21" xfId="3" applyFont="1" applyFill="1" applyBorder="1" applyAlignment="1" applyProtection="1">
      <alignment horizontal="center" vertical="center"/>
      <protection locked="0" hidden="1"/>
    </xf>
    <xf numFmtId="0" fontId="16" fillId="8" borderId="21" xfId="1" applyFont="1" applyFill="1" applyBorder="1" applyAlignment="1" applyProtection="1">
      <alignment horizontal="center" vertical="center"/>
      <protection locked="0" hidden="1"/>
    </xf>
    <xf numFmtId="0" fontId="6" fillId="0" borderId="0" xfId="1" applyFont="1" applyAlignment="1" applyProtection="1">
      <alignment horizontal="right" vertical="center"/>
      <protection hidden="1"/>
    </xf>
    <xf numFmtId="0" fontId="26" fillId="4" borderId="0" xfId="1" applyFont="1" applyFill="1" applyAlignment="1" applyProtection="1">
      <alignment horizontal="right" vertical="center"/>
      <protection hidden="1"/>
    </xf>
    <xf numFmtId="0" fontId="15" fillId="4" borderId="18" xfId="1" applyFont="1" applyFill="1" applyBorder="1" applyAlignment="1" applyProtection="1">
      <alignment horizontal="right" vertical="center"/>
      <protection hidden="1"/>
    </xf>
    <xf numFmtId="0" fontId="12" fillId="5" borderId="14" xfId="1" applyFont="1" applyFill="1" applyBorder="1" applyAlignment="1" applyProtection="1">
      <alignment horizontal="right" vertical="top" wrapText="1"/>
      <protection hidden="1"/>
    </xf>
    <xf numFmtId="43" fontId="16" fillId="8" borderId="21" xfId="3" applyFont="1" applyFill="1" applyBorder="1" applyAlignment="1" applyProtection="1">
      <alignment horizontal="right" vertical="center"/>
      <protection hidden="1"/>
    </xf>
    <xf numFmtId="0" fontId="17" fillId="5" borderId="0" xfId="1" applyFont="1" applyFill="1" applyAlignment="1" applyProtection="1">
      <alignment horizontal="right" vertical="center"/>
      <protection hidden="1"/>
    </xf>
    <xf numFmtId="0" fontId="6" fillId="0" borderId="0" xfId="0" applyFont="1" applyAlignment="1" applyProtection="1">
      <alignment horizontal="right" vertical="center"/>
      <protection hidden="1"/>
    </xf>
    <xf numFmtId="0" fontId="14" fillId="4" borderId="0" xfId="1" applyFont="1" applyFill="1" applyAlignment="1" applyProtection="1">
      <alignment horizontal="right" vertical="center"/>
      <protection hidden="1"/>
    </xf>
    <xf numFmtId="0" fontId="18" fillId="0" borderId="9" xfId="0" applyFont="1" applyBorder="1" applyAlignment="1" applyProtection="1">
      <alignment horizontal="right" vertical="center"/>
      <protection hidden="1"/>
    </xf>
    <xf numFmtId="0" fontId="18" fillId="0" borderId="0" xfId="0" applyFont="1" applyAlignment="1" applyProtection="1">
      <alignment horizontal="right" vertical="center"/>
      <protection hidden="1"/>
    </xf>
    <xf numFmtId="170" fontId="16" fillId="8" borderId="21" xfId="3" applyNumberFormat="1" applyFont="1" applyFill="1" applyBorder="1" applyAlignment="1" applyProtection="1">
      <alignment horizontal="right" vertical="center"/>
      <protection hidden="1"/>
    </xf>
    <xf numFmtId="0" fontId="6" fillId="0" borderId="0" xfId="1" applyFont="1" applyAlignment="1" applyProtection="1">
      <alignment horizontal="left" vertical="center"/>
      <protection hidden="1"/>
    </xf>
    <xf numFmtId="0" fontId="14" fillId="4" borderId="0" xfId="1" applyFont="1" applyFill="1" applyAlignment="1" applyProtection="1">
      <alignment horizontal="left" vertical="center"/>
      <protection hidden="1"/>
    </xf>
    <xf numFmtId="0" fontId="14" fillId="5" borderId="0" xfId="1" applyFont="1" applyFill="1" applyAlignment="1" applyProtection="1">
      <alignment horizontal="left" vertical="center"/>
      <protection hidden="1"/>
    </xf>
    <xf numFmtId="0" fontId="15" fillId="4" borderId="19" xfId="1" applyFont="1" applyFill="1" applyBorder="1" applyAlignment="1" applyProtection="1">
      <alignment horizontal="left" vertical="center"/>
      <protection hidden="1"/>
    </xf>
    <xf numFmtId="0" fontId="15" fillId="4" borderId="10" xfId="1" applyFont="1" applyFill="1" applyBorder="1" applyAlignment="1" applyProtection="1">
      <alignment horizontal="left" vertical="center"/>
      <protection hidden="1"/>
    </xf>
    <xf numFmtId="0" fontId="12" fillId="5" borderId="15" xfId="1" applyFont="1" applyFill="1" applyBorder="1" applyAlignment="1" applyProtection="1">
      <alignment horizontal="left" vertical="top" wrapText="1"/>
      <protection hidden="1"/>
    </xf>
    <xf numFmtId="0" fontId="16" fillId="8" borderId="24" xfId="1" applyFont="1" applyFill="1" applyBorder="1" applyAlignment="1" applyProtection="1">
      <alignment horizontal="left" vertical="center"/>
      <protection hidden="1"/>
    </xf>
    <xf numFmtId="0" fontId="6" fillId="0" borderId="0" xfId="1" applyFont="1" applyProtection="1">
      <protection hidden="1"/>
    </xf>
    <xf numFmtId="0" fontId="6" fillId="5" borderId="0" xfId="1" applyFont="1" applyFill="1" applyProtection="1">
      <protection hidden="1"/>
    </xf>
    <xf numFmtId="0" fontId="72" fillId="5" borderId="0" xfId="0" applyFont="1" applyFill="1" applyProtection="1">
      <protection hidden="1"/>
    </xf>
    <xf numFmtId="0" fontId="25" fillId="5" borderId="0" xfId="0" applyFont="1" applyFill="1" applyProtection="1">
      <protection hidden="1"/>
    </xf>
    <xf numFmtId="0" fontId="37" fillId="4" borderId="0" xfId="1" applyFont="1" applyFill="1" applyAlignment="1" applyProtection="1">
      <alignment horizontal="left" vertical="center"/>
      <protection hidden="1"/>
    </xf>
    <xf numFmtId="0" fontId="26" fillId="4" borderId="0" xfId="1" applyFont="1" applyFill="1" applyAlignment="1" applyProtection="1">
      <alignment vertical="center"/>
      <protection hidden="1"/>
    </xf>
    <xf numFmtId="0" fontId="26" fillId="4" borderId="0" xfId="1" applyFont="1" applyFill="1" applyAlignment="1" applyProtection="1">
      <alignment horizontal="left" vertical="center"/>
      <protection hidden="1"/>
    </xf>
    <xf numFmtId="43" fontId="26" fillId="4" borderId="0" xfId="3" applyFont="1" applyFill="1" applyAlignment="1" applyProtection="1">
      <alignment horizontal="center" vertical="center"/>
      <protection hidden="1"/>
    </xf>
    <xf numFmtId="0" fontId="26" fillId="4" borderId="0" xfId="1" applyFont="1" applyFill="1" applyAlignment="1" applyProtection="1">
      <alignment horizontal="center" vertical="center"/>
      <protection hidden="1"/>
    </xf>
    <xf numFmtId="0" fontId="6" fillId="0" borderId="0" xfId="1" applyFont="1" applyAlignment="1" applyProtection="1">
      <alignment vertical="center"/>
      <protection hidden="1"/>
    </xf>
    <xf numFmtId="43" fontId="6" fillId="0" borderId="0" xfId="3" applyFont="1" applyAlignment="1" applyProtection="1">
      <alignment horizontal="center" vertical="center"/>
      <protection hidden="1"/>
    </xf>
    <xf numFmtId="0" fontId="6" fillId="0" borderId="0" xfId="1" applyFont="1" applyAlignment="1" applyProtection="1">
      <alignment horizontal="center" vertical="center"/>
      <protection hidden="1"/>
    </xf>
    <xf numFmtId="0" fontId="13" fillId="0" borderId="0" xfId="0" applyFont="1" applyAlignment="1" applyProtection="1">
      <alignment horizontal="center" vertical="center"/>
      <protection hidden="1"/>
    </xf>
    <xf numFmtId="0" fontId="53" fillId="0" borderId="0" xfId="1" applyFont="1" applyAlignment="1" applyProtection="1">
      <alignment horizontal="left" vertical="center"/>
      <protection hidden="1"/>
    </xf>
    <xf numFmtId="0" fontId="17" fillId="0" borderId="0" xfId="1" applyFont="1" applyAlignment="1" applyProtection="1">
      <alignment horizontal="center" vertical="center"/>
      <protection hidden="1"/>
    </xf>
    <xf numFmtId="0" fontId="16" fillId="4" borderId="16" xfId="1" applyFont="1" applyFill="1" applyBorder="1" applyProtection="1">
      <protection hidden="1"/>
    </xf>
    <xf numFmtId="0" fontId="62" fillId="4" borderId="17" xfId="1" applyFont="1" applyFill="1" applyBorder="1" applyAlignment="1" applyProtection="1">
      <alignment horizontal="left" vertical="center"/>
      <protection hidden="1"/>
    </xf>
    <xf numFmtId="0" fontId="14" fillId="4" borderId="18" xfId="1" applyFont="1" applyFill="1" applyBorder="1" applyAlignment="1" applyProtection="1">
      <alignment horizontal="left" vertical="center"/>
      <protection hidden="1"/>
    </xf>
    <xf numFmtId="0" fontId="14" fillId="4" borderId="18" xfId="1" applyFont="1" applyFill="1" applyBorder="1" applyAlignment="1" applyProtection="1">
      <alignment horizontal="right" vertical="center"/>
      <protection hidden="1"/>
    </xf>
    <xf numFmtId="43" fontId="15" fillId="4" borderId="18" xfId="3" applyFont="1" applyFill="1" applyBorder="1" applyAlignment="1" applyProtection="1">
      <alignment horizontal="center" vertical="center"/>
      <protection hidden="1"/>
    </xf>
    <xf numFmtId="0" fontId="15" fillId="4" borderId="18" xfId="1" applyFont="1" applyFill="1" applyBorder="1" applyAlignment="1" applyProtection="1">
      <alignment horizontal="center" vertical="center"/>
      <protection hidden="1"/>
    </xf>
    <xf numFmtId="0" fontId="15" fillId="5" borderId="0" xfId="1" applyFont="1" applyFill="1" applyProtection="1">
      <protection hidden="1"/>
    </xf>
    <xf numFmtId="0" fontId="12" fillId="0" borderId="9" xfId="1" applyFont="1" applyBorder="1" applyAlignment="1" applyProtection="1">
      <alignment horizontal="left" vertical="center"/>
      <protection hidden="1"/>
    </xf>
    <xf numFmtId="0" fontId="78" fillId="0" borderId="9" xfId="1" applyFont="1" applyBorder="1" applyAlignment="1" applyProtection="1">
      <alignment horizontal="left" vertical="center"/>
      <protection hidden="1"/>
    </xf>
    <xf numFmtId="0" fontId="21" fillId="0" borderId="9" xfId="0" applyFont="1" applyBorder="1" applyAlignment="1" applyProtection="1">
      <alignment horizontal="center" vertical="center"/>
      <protection hidden="1"/>
    </xf>
    <xf numFmtId="0" fontId="25" fillId="0" borderId="0" xfId="0" applyFont="1" applyAlignment="1" applyProtection="1">
      <alignment vertical="center"/>
      <protection hidden="1"/>
    </xf>
    <xf numFmtId="0" fontId="12" fillId="5" borderId="14" xfId="1" applyFont="1" applyFill="1" applyBorder="1" applyAlignment="1" applyProtection="1">
      <alignment horizontal="left" vertical="top" wrapText="1"/>
      <protection hidden="1"/>
    </xf>
    <xf numFmtId="43" fontId="12" fillId="5" borderId="14" xfId="3" applyFont="1" applyFill="1" applyBorder="1" applyAlignment="1" applyProtection="1">
      <alignment horizontal="right" vertical="top" wrapText="1"/>
      <protection hidden="1"/>
    </xf>
    <xf numFmtId="0" fontId="12" fillId="5" borderId="14" xfId="1" applyFont="1" applyFill="1" applyBorder="1" applyAlignment="1" applyProtection="1">
      <alignment horizontal="center" vertical="top" wrapText="1"/>
      <protection hidden="1"/>
    </xf>
    <xf numFmtId="0" fontId="12" fillId="5" borderId="0" xfId="1" applyFont="1" applyFill="1" applyProtection="1">
      <protection hidden="1"/>
    </xf>
    <xf numFmtId="0" fontId="15" fillId="4" borderId="16" xfId="1" applyFont="1" applyFill="1" applyBorder="1" applyProtection="1">
      <protection hidden="1"/>
    </xf>
    <xf numFmtId="0" fontId="69" fillId="4" borderId="9" xfId="1" applyFont="1" applyFill="1" applyBorder="1" applyAlignment="1" applyProtection="1">
      <alignment vertical="center"/>
      <protection hidden="1"/>
    </xf>
    <xf numFmtId="0" fontId="17" fillId="5" borderId="0" xfId="1" applyFont="1" applyFill="1" applyAlignment="1" applyProtection="1">
      <alignment horizontal="left" vertical="center"/>
      <protection hidden="1"/>
    </xf>
    <xf numFmtId="43" fontId="17" fillId="5" borderId="0" xfId="3" applyFont="1" applyFill="1" applyBorder="1" applyAlignment="1" applyProtection="1">
      <alignment horizontal="center" vertical="center"/>
      <protection hidden="1"/>
    </xf>
    <xf numFmtId="0" fontId="17" fillId="5" borderId="0" xfId="1" applyFont="1" applyFill="1" applyAlignment="1" applyProtection="1">
      <alignment horizontal="center" vertical="center"/>
      <protection hidden="1"/>
    </xf>
    <xf numFmtId="0" fontId="5" fillId="5" borderId="0" xfId="1" applyFont="1" applyFill="1" applyAlignment="1" applyProtection="1">
      <alignment horizontal="center" vertical="center"/>
      <protection hidden="1"/>
    </xf>
    <xf numFmtId="0" fontId="17" fillId="5" borderId="0" xfId="1" applyFont="1" applyFill="1" applyAlignment="1" applyProtection="1">
      <alignment horizontal="center"/>
      <protection hidden="1"/>
    </xf>
    <xf numFmtId="0" fontId="12" fillId="5" borderId="14" xfId="1" applyFont="1" applyFill="1" applyBorder="1" applyAlignment="1" applyProtection="1">
      <alignment vertical="top"/>
      <protection hidden="1"/>
    </xf>
    <xf numFmtId="0" fontId="17" fillId="0" borderId="0" xfId="1" applyFont="1" applyAlignment="1" applyProtection="1">
      <alignment vertical="center"/>
      <protection hidden="1"/>
    </xf>
    <xf numFmtId="0" fontId="12" fillId="0" borderId="0" xfId="1" applyFont="1" applyAlignment="1" applyProtection="1">
      <alignment vertical="center"/>
      <protection hidden="1"/>
    </xf>
    <xf numFmtId="0" fontId="23" fillId="5" borderId="0" xfId="0" applyFont="1" applyFill="1" applyProtection="1">
      <protection hidden="1"/>
    </xf>
    <xf numFmtId="0" fontId="32" fillId="5" borderId="0" xfId="0" applyFont="1" applyFill="1" applyProtection="1">
      <protection hidden="1"/>
    </xf>
    <xf numFmtId="0" fontId="30" fillId="5" borderId="0" xfId="0" applyFont="1" applyFill="1" applyProtection="1">
      <protection hidden="1"/>
    </xf>
    <xf numFmtId="0" fontId="33" fillId="5" borderId="0" xfId="0" applyFont="1" applyFill="1" applyProtection="1">
      <protection hidden="1"/>
    </xf>
    <xf numFmtId="0" fontId="30" fillId="5" borderId="0" xfId="0" applyFont="1" applyFill="1" applyAlignment="1" applyProtection="1">
      <alignment vertical="top"/>
      <protection hidden="1"/>
    </xf>
    <xf numFmtId="0" fontId="35" fillId="4" borderId="8" xfId="1" applyFont="1" applyFill="1" applyBorder="1" applyAlignment="1" applyProtection="1">
      <alignment vertical="center"/>
      <protection hidden="1"/>
    </xf>
    <xf numFmtId="0" fontId="35" fillId="4" borderId="9" xfId="1" applyFont="1" applyFill="1" applyBorder="1" applyProtection="1">
      <protection hidden="1"/>
    </xf>
    <xf numFmtId="0" fontId="35" fillId="4" borderId="10" xfId="1" applyFont="1" applyFill="1" applyBorder="1" applyProtection="1">
      <protection hidden="1"/>
    </xf>
    <xf numFmtId="0" fontId="23" fillId="5" borderId="0" xfId="0" applyFont="1" applyFill="1" applyAlignment="1" applyProtection="1">
      <alignment vertical="center"/>
      <protection hidden="1"/>
    </xf>
    <xf numFmtId="0" fontId="23" fillId="5" borderId="0" xfId="0" applyFont="1" applyFill="1" applyAlignment="1" applyProtection="1">
      <alignment horizontal="left" vertical="top" wrapText="1"/>
      <protection hidden="1"/>
    </xf>
    <xf numFmtId="0" fontId="34" fillId="5" borderId="0" xfId="1" applyFont="1" applyFill="1" applyProtection="1">
      <protection hidden="1"/>
    </xf>
    <xf numFmtId="0" fontId="40" fillId="7" borderId="0" xfId="0" applyFont="1" applyFill="1" applyAlignment="1" applyProtection="1">
      <alignment horizontal="left" vertical="center"/>
      <protection hidden="1"/>
    </xf>
    <xf numFmtId="0" fontId="40" fillId="5" borderId="0" xfId="0" applyFont="1" applyFill="1" applyProtection="1">
      <protection hidden="1"/>
    </xf>
    <xf numFmtId="0" fontId="40" fillId="5" borderId="0" xfId="0" quotePrefix="1" applyFont="1" applyFill="1" applyProtection="1">
      <protection hidden="1"/>
    </xf>
    <xf numFmtId="0" fontId="36" fillId="5" borderId="0" xfId="1" applyFont="1" applyFill="1" applyProtection="1">
      <protection hidden="1"/>
    </xf>
    <xf numFmtId="10" fontId="36" fillId="5" borderId="0" xfId="2" applyNumberFormat="1" applyFont="1" applyFill="1" applyProtection="1">
      <protection hidden="1"/>
    </xf>
    <xf numFmtId="0" fontId="36" fillId="5" borderId="0" xfId="1" applyFont="1" applyFill="1" applyAlignment="1" applyProtection="1">
      <alignment vertical="center" wrapText="1"/>
      <protection hidden="1"/>
    </xf>
    <xf numFmtId="0" fontId="23" fillId="0" borderId="0" xfId="0" applyFont="1" applyProtection="1">
      <protection hidden="1"/>
    </xf>
    <xf numFmtId="0" fontId="23" fillId="0" borderId="0" xfId="0" applyFont="1" applyAlignment="1" applyProtection="1">
      <alignment wrapText="1"/>
      <protection hidden="1"/>
    </xf>
    <xf numFmtId="0" fontId="35" fillId="4" borderId="8" xfId="1" applyFont="1" applyFill="1" applyBorder="1" applyAlignment="1" applyProtection="1">
      <alignment horizontal="left" vertical="center"/>
      <protection hidden="1"/>
    </xf>
    <xf numFmtId="0" fontId="35" fillId="4" borderId="10" xfId="1" applyFont="1" applyFill="1" applyBorder="1" applyAlignment="1" applyProtection="1">
      <alignment horizontal="left" vertical="center" wrapText="1"/>
      <protection hidden="1"/>
    </xf>
    <xf numFmtId="0" fontId="39" fillId="0" borderId="0" xfId="0" applyFont="1" applyProtection="1">
      <protection hidden="1"/>
    </xf>
    <xf numFmtId="0" fontId="46" fillId="7" borderId="25" xfId="0" applyFont="1" applyFill="1" applyBorder="1" applyAlignment="1" applyProtection="1">
      <alignment horizontal="left" vertical="top" wrapText="1"/>
      <protection hidden="1"/>
    </xf>
    <xf numFmtId="0" fontId="40" fillId="7" borderId="23" xfId="0" applyFont="1" applyFill="1" applyBorder="1" applyAlignment="1" applyProtection="1">
      <alignment horizontal="left" vertical="top" wrapText="1"/>
      <protection hidden="1"/>
    </xf>
    <xf numFmtId="0" fontId="46" fillId="7" borderId="26" xfId="0" applyFont="1" applyFill="1" applyBorder="1" applyAlignment="1" applyProtection="1">
      <alignment horizontal="left" vertical="top" wrapText="1"/>
      <protection hidden="1"/>
    </xf>
    <xf numFmtId="0" fontId="40" fillId="7" borderId="24" xfId="0" applyFont="1" applyFill="1" applyBorder="1" applyAlignment="1" applyProtection="1">
      <alignment horizontal="left" vertical="top" wrapText="1"/>
      <protection hidden="1"/>
    </xf>
    <xf numFmtId="0" fontId="23" fillId="0" borderId="0" xfId="0" applyFont="1" applyAlignment="1" applyProtection="1">
      <alignment horizontal="left" vertical="center"/>
      <protection hidden="1"/>
    </xf>
    <xf numFmtId="0" fontId="47" fillId="0" borderId="0" xfId="1" applyFont="1" applyProtection="1">
      <protection hidden="1"/>
    </xf>
    <xf numFmtId="0" fontId="40" fillId="0" borderId="0" xfId="1" applyFont="1" applyProtection="1">
      <protection hidden="1"/>
    </xf>
    <xf numFmtId="0" fontId="41" fillId="0" borderId="0" xfId="1" applyFont="1" applyProtection="1">
      <protection hidden="1"/>
    </xf>
    <xf numFmtId="0" fontId="31" fillId="0" borderId="0" xfId="0" applyFont="1" applyProtection="1">
      <protection hidden="1"/>
    </xf>
    <xf numFmtId="0" fontId="40" fillId="0" borderId="8" xfId="1" applyFont="1" applyBorder="1" applyProtection="1">
      <protection hidden="1"/>
    </xf>
    <xf numFmtId="0" fontId="41" fillId="0" borderId="9" xfId="1" applyFont="1" applyBorder="1" applyProtection="1">
      <protection hidden="1"/>
    </xf>
    <xf numFmtId="0" fontId="40" fillId="0" borderId="9" xfId="1" applyFont="1" applyBorder="1" applyProtection="1">
      <protection hidden="1"/>
    </xf>
    <xf numFmtId="0" fontId="31" fillId="0" borderId="9" xfId="0" applyFont="1" applyBorder="1" applyProtection="1">
      <protection hidden="1"/>
    </xf>
    <xf numFmtId="0" fontId="40" fillId="0" borderId="10" xfId="1" applyFont="1" applyBorder="1" applyProtection="1">
      <protection hidden="1"/>
    </xf>
    <xf numFmtId="0" fontId="40" fillId="0" borderId="11" xfId="1" applyFont="1" applyBorder="1" applyProtection="1">
      <protection hidden="1"/>
    </xf>
    <xf numFmtId="0" fontId="40" fillId="0" borderId="12" xfId="1" applyFont="1" applyBorder="1" applyProtection="1">
      <protection hidden="1"/>
    </xf>
    <xf numFmtId="0" fontId="74" fillId="0" borderId="0" xfId="1" applyFont="1" applyProtection="1">
      <protection hidden="1"/>
    </xf>
    <xf numFmtId="0" fontId="76" fillId="0" borderId="0" xfId="1" applyFont="1" applyAlignment="1" applyProtection="1">
      <alignment vertical="center"/>
      <protection hidden="1"/>
    </xf>
    <xf numFmtId="0" fontId="43" fillId="5" borderId="0" xfId="1" applyFont="1" applyFill="1" applyAlignment="1" applyProtection="1">
      <alignment vertical="center"/>
      <protection hidden="1"/>
    </xf>
    <xf numFmtId="0" fontId="40" fillId="11" borderId="22" xfId="1" applyFont="1" applyFill="1" applyBorder="1" applyAlignment="1" applyProtection="1">
      <alignment vertical="center"/>
      <protection hidden="1"/>
    </xf>
    <xf numFmtId="165" fontId="40" fillId="0" borderId="22" xfId="1" applyNumberFormat="1" applyFont="1" applyBorder="1" applyAlignment="1" applyProtection="1">
      <alignment vertical="center"/>
      <protection hidden="1"/>
    </xf>
    <xf numFmtId="0" fontId="40" fillId="11" borderId="21" xfId="1" applyFont="1" applyFill="1" applyBorder="1" applyAlignment="1" applyProtection="1">
      <alignment vertical="center"/>
      <protection hidden="1"/>
    </xf>
    <xf numFmtId="165" fontId="40" fillId="0" borderId="21" xfId="1" applyNumberFormat="1" applyFont="1" applyBorder="1" applyAlignment="1" applyProtection="1">
      <alignment vertical="center"/>
      <protection hidden="1"/>
    </xf>
    <xf numFmtId="0" fontId="23" fillId="0" borderId="12" xfId="0" applyFont="1" applyBorder="1" applyProtection="1">
      <protection hidden="1"/>
    </xf>
    <xf numFmtId="0" fontId="40" fillId="0" borderId="13" xfId="1" applyFont="1" applyBorder="1" applyProtection="1">
      <protection hidden="1"/>
    </xf>
    <xf numFmtId="0" fontId="41" fillId="0" borderId="14" xfId="1" applyFont="1" applyBorder="1" applyProtection="1">
      <protection hidden="1"/>
    </xf>
    <xf numFmtId="0" fontId="40" fillId="0" borderId="14" xfId="1" applyFont="1" applyBorder="1" applyProtection="1">
      <protection hidden="1"/>
    </xf>
    <xf numFmtId="0" fontId="40" fillId="0" borderId="15" xfId="1" applyFont="1" applyBorder="1" applyProtection="1">
      <protection hidden="1"/>
    </xf>
    <xf numFmtId="0" fontId="76" fillId="0" borderId="0" xfId="1" applyFont="1" applyAlignment="1" applyProtection="1">
      <alignment wrapText="1"/>
      <protection hidden="1"/>
    </xf>
    <xf numFmtId="0" fontId="43" fillId="5" borderId="0" xfId="1" applyFont="1" applyFill="1" applyAlignment="1" applyProtection="1">
      <alignment horizontal="left" vertical="center" wrapText="1"/>
      <protection hidden="1"/>
    </xf>
    <xf numFmtId="0" fontId="43" fillId="5" borderId="0" xfId="1" applyFont="1" applyFill="1" applyAlignment="1" applyProtection="1">
      <alignment horizontal="right" vertical="center" wrapText="1"/>
      <protection hidden="1"/>
    </xf>
    <xf numFmtId="0" fontId="43" fillId="5" borderId="12" xfId="1" applyFont="1" applyFill="1" applyBorder="1" applyAlignment="1" applyProtection="1">
      <alignment horizontal="right" vertical="center" wrapText="1"/>
      <protection hidden="1"/>
    </xf>
    <xf numFmtId="0" fontId="40" fillId="11" borderId="22" xfId="1" applyFont="1" applyFill="1" applyBorder="1" applyAlignment="1" applyProtection="1">
      <alignment horizontal="left" vertical="center"/>
      <protection hidden="1"/>
    </xf>
    <xf numFmtId="167" fontId="40" fillId="0" borderId="22" xfId="1" applyNumberFormat="1" applyFont="1" applyBorder="1" applyAlignment="1" applyProtection="1">
      <alignment vertical="center"/>
      <protection hidden="1"/>
    </xf>
    <xf numFmtId="10" fontId="40" fillId="0" borderId="22" xfId="2" applyNumberFormat="1" applyFont="1" applyBorder="1" applyAlignment="1" applyProtection="1">
      <alignment vertical="center"/>
      <protection hidden="1"/>
    </xf>
    <xf numFmtId="165" fontId="40" fillId="5" borderId="22" xfId="1" applyNumberFormat="1" applyFont="1" applyFill="1" applyBorder="1" applyAlignment="1" applyProtection="1">
      <alignment vertical="center"/>
      <protection hidden="1"/>
    </xf>
    <xf numFmtId="10" fontId="40" fillId="0" borderId="23" xfId="2" applyNumberFormat="1" applyFont="1" applyBorder="1" applyAlignment="1" applyProtection="1">
      <alignment vertical="center"/>
      <protection hidden="1"/>
    </xf>
    <xf numFmtId="0" fontId="40" fillId="11" borderId="21" xfId="1" applyFont="1" applyFill="1" applyBorder="1" applyAlignment="1" applyProtection="1">
      <alignment horizontal="left" vertical="center"/>
      <protection hidden="1"/>
    </xf>
    <xf numFmtId="165" fontId="40" fillId="5" borderId="21" xfId="3" applyNumberFormat="1" applyFont="1" applyFill="1" applyBorder="1" applyAlignment="1" applyProtection="1">
      <alignment vertical="center"/>
      <protection hidden="1"/>
    </xf>
    <xf numFmtId="167" fontId="40" fillId="0" borderId="21" xfId="1" applyNumberFormat="1" applyFont="1" applyBorder="1" applyAlignment="1" applyProtection="1">
      <alignment vertical="center"/>
      <protection hidden="1"/>
    </xf>
    <xf numFmtId="10" fontId="40" fillId="0" borderId="21" xfId="2" applyNumberFormat="1" applyFont="1" applyBorder="1" applyAlignment="1" applyProtection="1">
      <alignment vertical="center"/>
      <protection hidden="1"/>
    </xf>
    <xf numFmtId="167" fontId="40" fillId="5" borderId="21" xfId="1" applyNumberFormat="1" applyFont="1" applyFill="1" applyBorder="1" applyAlignment="1" applyProtection="1">
      <alignment vertical="center"/>
      <protection hidden="1"/>
    </xf>
    <xf numFmtId="10" fontId="40" fillId="0" borderId="24" xfId="2" applyNumberFormat="1" applyFont="1" applyBorder="1" applyAlignment="1" applyProtection="1">
      <alignment vertical="center"/>
      <protection hidden="1"/>
    </xf>
    <xf numFmtId="165" fontId="40" fillId="0" borderId="21" xfId="3" applyNumberFormat="1" applyFont="1" applyBorder="1" applyAlignment="1" applyProtection="1">
      <alignment vertical="center"/>
      <protection hidden="1"/>
    </xf>
    <xf numFmtId="0" fontId="43" fillId="11" borderId="21" xfId="1" applyFont="1" applyFill="1" applyBorder="1" applyAlignment="1" applyProtection="1">
      <alignment horizontal="left" vertical="center"/>
      <protection hidden="1"/>
    </xf>
    <xf numFmtId="165" fontId="43" fillId="0" borderId="21" xfId="1" applyNumberFormat="1" applyFont="1" applyBorder="1" applyAlignment="1" applyProtection="1">
      <alignment vertical="center"/>
      <protection hidden="1"/>
    </xf>
    <xf numFmtId="167" fontId="43" fillId="0" borderId="21" xfId="1" applyNumberFormat="1" applyFont="1" applyBorder="1" applyAlignment="1" applyProtection="1">
      <alignment vertical="center"/>
      <protection hidden="1"/>
    </xf>
    <xf numFmtId="10" fontId="43" fillId="5" borderId="21" xfId="2" applyNumberFormat="1" applyFont="1" applyFill="1" applyBorder="1" applyAlignment="1" applyProtection="1">
      <alignment vertical="center"/>
      <protection hidden="1"/>
    </xf>
    <xf numFmtId="10" fontId="43" fillId="5" borderId="24" xfId="2" applyNumberFormat="1" applyFont="1" applyFill="1" applyBorder="1" applyAlignment="1" applyProtection="1">
      <alignment vertical="center"/>
      <protection hidden="1"/>
    </xf>
    <xf numFmtId="0" fontId="43" fillId="11" borderId="0" xfId="1" applyFont="1" applyFill="1" applyAlignment="1" applyProtection="1">
      <alignment horizontal="left" vertical="center"/>
      <protection hidden="1"/>
    </xf>
    <xf numFmtId="165" fontId="43" fillId="0" borderId="0" xfId="1" applyNumberFormat="1" applyFont="1" applyAlignment="1" applyProtection="1">
      <alignment vertical="center"/>
      <protection hidden="1"/>
    </xf>
    <xf numFmtId="10" fontId="43" fillId="0" borderId="0" xfId="2" applyNumberFormat="1" applyFont="1" applyAlignment="1" applyProtection="1">
      <alignment vertical="center"/>
      <protection hidden="1"/>
    </xf>
    <xf numFmtId="167" fontId="40" fillId="0" borderId="14" xfId="1" applyNumberFormat="1" applyFont="1" applyBorder="1" applyProtection="1">
      <protection hidden="1"/>
    </xf>
    <xf numFmtId="0" fontId="40" fillId="11" borderId="22" xfId="1" applyFont="1" applyFill="1" applyBorder="1" applyProtection="1">
      <protection hidden="1"/>
    </xf>
    <xf numFmtId="167" fontId="40" fillId="0" borderId="22" xfId="3" applyNumberFormat="1" applyFont="1" applyBorder="1" applyProtection="1">
      <protection hidden="1"/>
    </xf>
    <xf numFmtId="10" fontId="40" fillId="0" borderId="22" xfId="2" applyNumberFormat="1" applyFont="1" applyBorder="1" applyProtection="1">
      <protection hidden="1"/>
    </xf>
    <xf numFmtId="3" fontId="40" fillId="0" borderId="22" xfId="1" applyNumberFormat="1" applyFont="1" applyBorder="1" applyProtection="1">
      <protection hidden="1"/>
    </xf>
    <xf numFmtId="0" fontId="40" fillId="11" borderId="21" xfId="1" applyFont="1" applyFill="1" applyBorder="1" applyProtection="1">
      <protection hidden="1"/>
    </xf>
    <xf numFmtId="167" fontId="40" fillId="0" borderId="21" xfId="3" applyNumberFormat="1" applyFont="1" applyBorder="1" applyProtection="1">
      <protection hidden="1"/>
    </xf>
    <xf numFmtId="10" fontId="40" fillId="0" borderId="21" xfId="2" applyNumberFormat="1" applyFont="1" applyBorder="1" applyProtection="1">
      <protection hidden="1"/>
    </xf>
    <xf numFmtId="3" fontId="40" fillId="0" borderId="21" xfId="1" applyNumberFormat="1" applyFont="1" applyBorder="1" applyProtection="1">
      <protection hidden="1"/>
    </xf>
    <xf numFmtId="0" fontId="40" fillId="0" borderId="21" xfId="1" applyFont="1" applyBorder="1" applyProtection="1">
      <protection hidden="1"/>
    </xf>
    <xf numFmtId="0" fontId="43" fillId="11" borderId="21" xfId="1" applyFont="1" applyFill="1" applyBorder="1" applyProtection="1">
      <protection hidden="1"/>
    </xf>
    <xf numFmtId="167" fontId="43" fillId="0" borderId="21" xfId="3" applyNumberFormat="1" applyFont="1" applyBorder="1" applyProtection="1">
      <protection hidden="1"/>
    </xf>
    <xf numFmtId="10" fontId="43" fillId="0" borderId="21" xfId="2" applyNumberFormat="1" applyFont="1" applyBorder="1" applyProtection="1">
      <protection hidden="1"/>
    </xf>
    <xf numFmtId="3" fontId="43" fillId="0" borderId="21" xfId="1" applyNumberFormat="1" applyFont="1" applyBorder="1" applyProtection="1">
      <protection hidden="1"/>
    </xf>
    <xf numFmtId="0" fontId="40" fillId="11" borderId="22" xfId="1" applyFont="1" applyFill="1" applyBorder="1" applyAlignment="1" applyProtection="1">
      <alignment wrapText="1"/>
      <protection hidden="1"/>
    </xf>
    <xf numFmtId="165" fontId="40" fillId="0" borderId="22" xfId="1" applyNumberFormat="1" applyFont="1" applyBorder="1" applyProtection="1">
      <protection hidden="1"/>
    </xf>
    <xf numFmtId="167" fontId="40" fillId="0" borderId="22" xfId="1" applyNumberFormat="1" applyFont="1" applyBorder="1" applyProtection="1">
      <protection hidden="1"/>
    </xf>
    <xf numFmtId="0" fontId="40" fillId="11" borderId="21" xfId="1" applyFont="1" applyFill="1" applyBorder="1" applyAlignment="1" applyProtection="1">
      <alignment wrapText="1"/>
      <protection hidden="1"/>
    </xf>
    <xf numFmtId="165" fontId="40" fillId="0" borderId="21" xfId="1" applyNumberFormat="1" applyFont="1" applyBorder="1" applyProtection="1">
      <protection hidden="1"/>
    </xf>
    <xf numFmtId="167" fontId="40" fillId="0" borderId="21" xfId="1" applyNumberFormat="1" applyFont="1" applyBorder="1" applyProtection="1">
      <protection hidden="1"/>
    </xf>
    <xf numFmtId="10" fontId="43" fillId="11" borderId="21" xfId="2" applyNumberFormat="1" applyFont="1" applyFill="1" applyBorder="1" applyAlignment="1" applyProtection="1">
      <alignment vertical="center"/>
      <protection hidden="1"/>
    </xf>
    <xf numFmtId="0" fontId="43" fillId="0" borderId="0" xfId="1" applyFont="1" applyAlignment="1" applyProtection="1">
      <alignment vertical="center" wrapText="1"/>
      <protection hidden="1"/>
    </xf>
    <xf numFmtId="0" fontId="43" fillId="0" borderId="14" xfId="1" applyFont="1" applyBorder="1" applyProtection="1">
      <protection hidden="1"/>
    </xf>
    <xf numFmtId="0" fontId="43" fillId="0" borderId="0" xfId="1" applyFont="1" applyProtection="1">
      <protection hidden="1"/>
    </xf>
    <xf numFmtId="0" fontId="43" fillId="0" borderId="9" xfId="1" applyFont="1" applyBorder="1" applyProtection="1">
      <protection hidden="1"/>
    </xf>
    <xf numFmtId="0" fontId="43" fillId="5" borderId="0" xfId="1" applyFont="1" applyFill="1" applyAlignment="1" applyProtection="1">
      <alignment horizontal="right" vertical="center"/>
      <protection hidden="1"/>
    </xf>
    <xf numFmtId="0" fontId="43" fillId="11" borderId="22" xfId="1" applyFont="1" applyFill="1" applyBorder="1" applyProtection="1">
      <protection hidden="1"/>
    </xf>
    <xf numFmtId="9" fontId="43" fillId="0" borderId="22" xfId="2" applyFont="1" applyFill="1" applyBorder="1" applyProtection="1">
      <protection hidden="1"/>
    </xf>
    <xf numFmtId="0" fontId="43" fillId="0" borderId="0" xfId="1" applyFont="1" applyAlignment="1" applyProtection="1">
      <alignment vertical="center"/>
      <protection hidden="1"/>
    </xf>
    <xf numFmtId="167" fontId="40" fillId="5" borderId="21" xfId="3" applyNumberFormat="1" applyFont="1" applyFill="1" applyBorder="1" applyProtection="1">
      <protection hidden="1"/>
    </xf>
    <xf numFmtId="0" fontId="40" fillId="0" borderId="0" xfId="1" applyFont="1" applyAlignment="1" applyProtection="1">
      <alignment vertical="center"/>
      <protection hidden="1"/>
    </xf>
    <xf numFmtId="0" fontId="48" fillId="11" borderId="21" xfId="1" applyFont="1" applyFill="1" applyBorder="1" applyProtection="1">
      <protection hidden="1"/>
    </xf>
    <xf numFmtId="0" fontId="44" fillId="0" borderId="0" xfId="1" applyFont="1" applyProtection="1">
      <protection hidden="1"/>
    </xf>
    <xf numFmtId="0" fontId="45" fillId="0" borderId="0" xfId="1" applyFont="1" applyProtection="1">
      <protection hidden="1"/>
    </xf>
    <xf numFmtId="0" fontId="75" fillId="0" borderId="0" xfId="4" applyFont="1" applyBorder="1" applyAlignment="1" applyProtection="1">
      <alignment horizontal="left" vertical="center"/>
      <protection locked="0"/>
    </xf>
    <xf numFmtId="0" fontId="26" fillId="5" borderId="0" xfId="1" applyFont="1" applyFill="1" applyAlignment="1" applyProtection="1">
      <alignment vertical="center"/>
      <protection hidden="1"/>
    </xf>
    <xf numFmtId="0" fontId="0" fillId="0" borderId="0" xfId="0" applyProtection="1">
      <protection hidden="1"/>
    </xf>
    <xf numFmtId="0" fontId="9" fillId="5" borderId="0" xfId="0" applyFont="1" applyFill="1" applyAlignment="1" applyProtection="1">
      <alignment horizontal="center" vertical="center"/>
      <protection hidden="1"/>
    </xf>
    <xf numFmtId="0" fontId="26" fillId="5" borderId="0" xfId="1" applyFont="1" applyFill="1" applyAlignment="1" applyProtection="1">
      <alignment horizontal="left" vertical="center"/>
      <protection hidden="1"/>
    </xf>
    <xf numFmtId="0" fontId="54" fillId="5" borderId="0" xfId="1" applyFont="1" applyFill="1" applyAlignment="1" applyProtection="1">
      <alignment horizontal="left" vertical="center"/>
      <protection hidden="1"/>
    </xf>
    <xf numFmtId="0" fontId="55" fillId="5" borderId="0" xfId="1" applyFont="1" applyFill="1" applyAlignment="1" applyProtection="1">
      <alignment horizontal="left" vertical="center"/>
      <protection hidden="1"/>
    </xf>
    <xf numFmtId="0" fontId="0" fillId="5" borderId="0" xfId="0" applyFill="1" applyProtection="1">
      <protection hidden="1"/>
    </xf>
    <xf numFmtId="0" fontId="24" fillId="0" borderId="0" xfId="1" applyFont="1" applyProtection="1">
      <protection hidden="1"/>
    </xf>
    <xf numFmtId="0" fontId="69" fillId="4" borderId="8" xfId="1" applyFont="1" applyFill="1" applyBorder="1" applyAlignment="1" applyProtection="1">
      <alignment horizontal="center" vertical="center"/>
      <protection hidden="1"/>
    </xf>
    <xf numFmtId="0" fontId="69" fillId="4" borderId="9" xfId="1" applyFont="1" applyFill="1" applyBorder="1" applyAlignment="1" applyProtection="1">
      <alignment horizontal="left" vertical="center"/>
      <protection hidden="1"/>
    </xf>
    <xf numFmtId="0" fontId="15" fillId="4" borderId="9" xfId="1" applyFont="1" applyFill="1" applyBorder="1" applyAlignment="1" applyProtection="1">
      <alignment vertical="center"/>
      <protection hidden="1"/>
    </xf>
    <xf numFmtId="0" fontId="64" fillId="4" borderId="9" xfId="1" applyFont="1" applyFill="1" applyBorder="1" applyProtection="1">
      <protection hidden="1"/>
    </xf>
    <xf numFmtId="0" fontId="52" fillId="4" borderId="10" xfId="0" applyFont="1" applyFill="1" applyBorder="1" applyProtection="1">
      <protection hidden="1"/>
    </xf>
    <xf numFmtId="0" fontId="14" fillId="5" borderId="11" xfId="1" applyFont="1" applyFill="1" applyBorder="1" applyAlignment="1" applyProtection="1">
      <alignment horizontal="center" vertical="center"/>
      <protection hidden="1"/>
    </xf>
    <xf numFmtId="0" fontId="15" fillId="5" borderId="0" xfId="1" applyFont="1" applyFill="1" applyAlignment="1" applyProtection="1">
      <alignment vertical="center"/>
      <protection hidden="1"/>
    </xf>
    <xf numFmtId="0" fontId="64" fillId="5" borderId="0" xfId="1" applyFont="1" applyFill="1" applyProtection="1">
      <protection hidden="1"/>
    </xf>
    <xf numFmtId="0" fontId="52" fillId="5" borderId="12" xfId="0" applyFont="1" applyFill="1" applyBorder="1" applyProtection="1">
      <protection hidden="1"/>
    </xf>
    <xf numFmtId="0" fontId="56" fillId="5" borderId="0" xfId="1" applyFont="1" applyFill="1" applyProtection="1">
      <protection hidden="1"/>
    </xf>
    <xf numFmtId="0" fontId="0" fillId="0" borderId="12" xfId="0" applyBorder="1" applyProtection="1">
      <protection hidden="1"/>
    </xf>
    <xf numFmtId="0" fontId="11" fillId="0" borderId="21" xfId="1" applyBorder="1" applyAlignment="1" applyProtection="1">
      <alignment horizontal="left" vertical="center"/>
      <protection hidden="1"/>
    </xf>
    <xf numFmtId="0" fontId="56" fillId="0" borderId="0" xfId="1" applyFont="1" applyProtection="1">
      <protection hidden="1"/>
    </xf>
    <xf numFmtId="0" fontId="69" fillId="5" borderId="11" xfId="0" applyFont="1" applyFill="1" applyBorder="1" applyAlignment="1" applyProtection="1">
      <alignment horizontal="center" vertical="center"/>
      <protection hidden="1"/>
    </xf>
    <xf numFmtId="0" fontId="57" fillId="0" borderId="0" xfId="0" applyFont="1" applyProtection="1">
      <protection hidden="1"/>
    </xf>
    <xf numFmtId="0" fontId="40" fillId="8" borderId="21" xfId="3" applyNumberFormat="1" applyFont="1" applyFill="1" applyBorder="1" applyAlignment="1" applyProtection="1">
      <alignment vertical="center"/>
      <protection hidden="1"/>
    </xf>
    <xf numFmtId="0" fontId="56" fillId="5" borderId="0" xfId="3" applyNumberFormat="1" applyFont="1" applyFill="1" applyBorder="1" applyProtection="1">
      <protection hidden="1"/>
    </xf>
    <xf numFmtId="167" fontId="40" fillId="8" borderId="21" xfId="3" applyNumberFormat="1" applyFont="1" applyFill="1" applyBorder="1" applyAlignment="1" applyProtection="1">
      <alignment vertical="center"/>
      <protection hidden="1"/>
    </xf>
    <xf numFmtId="3" fontId="56" fillId="5" borderId="0" xfId="1" applyNumberFormat="1" applyFont="1" applyFill="1" applyProtection="1">
      <protection hidden="1"/>
    </xf>
    <xf numFmtId="0" fontId="14" fillId="5" borderId="13" xfId="1" applyFont="1" applyFill="1" applyBorder="1" applyAlignment="1" applyProtection="1">
      <alignment horizontal="center" vertical="center"/>
      <protection hidden="1"/>
    </xf>
    <xf numFmtId="164" fontId="40" fillId="5" borderId="14" xfId="1" applyNumberFormat="1" applyFont="1" applyFill="1" applyBorder="1" applyAlignment="1" applyProtection="1">
      <alignment vertical="center"/>
      <protection hidden="1"/>
    </xf>
    <xf numFmtId="3" fontId="56" fillId="5" borderId="14" xfId="1" applyNumberFormat="1" applyFont="1" applyFill="1" applyBorder="1" applyProtection="1">
      <protection hidden="1"/>
    </xf>
    <xf numFmtId="0" fontId="0" fillId="0" borderId="15" xfId="0" applyBorder="1" applyProtection="1">
      <protection hidden="1"/>
    </xf>
    <xf numFmtId="0" fontId="12" fillId="0" borderId="0" xfId="1" applyFont="1" applyAlignment="1" applyProtection="1">
      <alignment horizontal="center" vertical="center"/>
      <protection hidden="1"/>
    </xf>
    <xf numFmtId="0" fontId="0" fillId="0" borderId="0" xfId="0" applyAlignment="1" applyProtection="1">
      <alignment horizontal="left" vertical="center"/>
      <protection hidden="1"/>
    </xf>
    <xf numFmtId="0" fontId="23" fillId="0" borderId="0" xfId="0" applyFont="1" applyAlignment="1" applyProtection="1">
      <alignment vertical="center"/>
      <protection hidden="1"/>
    </xf>
    <xf numFmtId="0" fontId="58" fillId="0" borderId="0" xfId="1" applyFont="1" applyProtection="1">
      <protection hidden="1"/>
    </xf>
    <xf numFmtId="0" fontId="65" fillId="4" borderId="9" xfId="1" applyFont="1" applyFill="1" applyBorder="1" applyAlignment="1" applyProtection="1">
      <alignment vertical="center"/>
      <protection hidden="1"/>
    </xf>
    <xf numFmtId="167" fontId="64" fillId="4" borderId="9" xfId="3" applyNumberFormat="1" applyFont="1" applyFill="1" applyBorder="1" applyProtection="1">
      <protection hidden="1"/>
    </xf>
    <xf numFmtId="0" fontId="65" fillId="5" borderId="0" xfId="1" applyFont="1" applyFill="1" applyAlignment="1" applyProtection="1">
      <alignment vertical="center"/>
      <protection hidden="1"/>
    </xf>
    <xf numFmtId="167" fontId="64" fillId="5" borderId="0" xfId="3" applyNumberFormat="1" applyFont="1" applyFill="1" applyBorder="1" applyProtection="1">
      <protection hidden="1"/>
    </xf>
    <xf numFmtId="167" fontId="56" fillId="5" borderId="0" xfId="3" applyNumberFormat="1" applyFont="1" applyFill="1" applyBorder="1" applyProtection="1">
      <protection hidden="1"/>
    </xf>
    <xf numFmtId="167" fontId="56" fillId="5" borderId="0" xfId="1" applyNumberFormat="1" applyFont="1" applyFill="1" applyProtection="1">
      <protection hidden="1"/>
    </xf>
    <xf numFmtId="164" fontId="56" fillId="5" borderId="0" xfId="1" applyNumberFormat="1" applyFont="1" applyFill="1" applyProtection="1">
      <protection hidden="1"/>
    </xf>
    <xf numFmtId="167" fontId="40" fillId="8" borderId="21" xfId="1" applyNumberFormat="1" applyFont="1" applyFill="1" applyBorder="1" applyAlignment="1" applyProtection="1">
      <alignment vertical="center"/>
      <protection hidden="1"/>
    </xf>
    <xf numFmtId="0" fontId="73" fillId="0" borderId="0" xfId="0" applyFont="1" applyProtection="1">
      <protection hidden="1"/>
    </xf>
    <xf numFmtId="167" fontId="40" fillId="5" borderId="14" xfId="1" applyNumberFormat="1" applyFont="1" applyFill="1" applyBorder="1" applyAlignment="1" applyProtection="1">
      <alignment vertical="center"/>
      <protection hidden="1"/>
    </xf>
    <xf numFmtId="0" fontId="69" fillId="4" borderId="9" xfId="1" applyFont="1" applyFill="1" applyBorder="1" applyAlignment="1" applyProtection="1">
      <alignment horizontal="left" vertical="center" wrapText="1"/>
      <protection hidden="1"/>
    </xf>
    <xf numFmtId="3" fontId="64" fillId="4" borderId="9" xfId="1" applyNumberFormat="1" applyFont="1" applyFill="1" applyBorder="1" applyProtection="1">
      <protection hidden="1"/>
    </xf>
    <xf numFmtId="0" fontId="0" fillId="4" borderId="10" xfId="0" applyFill="1" applyBorder="1" applyProtection="1">
      <protection hidden="1"/>
    </xf>
    <xf numFmtId="0" fontId="14" fillId="5" borderId="0" xfId="1" applyFont="1" applyFill="1" applyAlignment="1" applyProtection="1">
      <alignment horizontal="left" vertical="center" wrapText="1"/>
      <protection hidden="1"/>
    </xf>
    <xf numFmtId="3" fontId="64" fillId="5" borderId="0" xfId="1" applyNumberFormat="1" applyFont="1" applyFill="1" applyProtection="1">
      <protection hidden="1"/>
    </xf>
    <xf numFmtId="0" fontId="0" fillId="5" borderId="12" xfId="0" applyFill="1" applyBorder="1" applyProtection="1">
      <protection hidden="1"/>
    </xf>
    <xf numFmtId="0" fontId="9" fillId="5" borderId="11" xfId="0" applyFont="1" applyFill="1" applyBorder="1" applyAlignment="1" applyProtection="1">
      <alignment horizontal="center" vertical="center"/>
      <protection hidden="1"/>
    </xf>
    <xf numFmtId="0" fontId="59" fillId="0" borderId="0" xfId="1" applyFont="1" applyAlignment="1" applyProtection="1">
      <alignment horizontal="right" wrapText="1"/>
      <protection hidden="1"/>
    </xf>
    <xf numFmtId="0" fontId="21" fillId="0" borderId="12" xfId="0" applyFont="1" applyBorder="1" applyProtection="1">
      <protection hidden="1"/>
    </xf>
    <xf numFmtId="9" fontId="56" fillId="5" borderId="22" xfId="2" applyFont="1" applyFill="1" applyBorder="1" applyProtection="1">
      <protection hidden="1"/>
    </xf>
    <xf numFmtId="3" fontId="40" fillId="8" borderId="21" xfId="1" applyNumberFormat="1" applyFont="1" applyFill="1" applyBorder="1" applyAlignment="1" applyProtection="1">
      <alignment vertical="center"/>
      <protection hidden="1"/>
    </xf>
    <xf numFmtId="3" fontId="56" fillId="8" borderId="21" xfId="1" applyNumberFormat="1" applyFont="1" applyFill="1" applyBorder="1" applyProtection="1">
      <protection hidden="1"/>
    </xf>
    <xf numFmtId="9" fontId="56" fillId="5" borderId="21" xfId="2" applyFont="1" applyFill="1" applyBorder="1" applyProtection="1">
      <protection hidden="1"/>
    </xf>
    <xf numFmtId="0" fontId="11" fillId="0" borderId="14" xfId="1" applyBorder="1" applyAlignment="1" applyProtection="1">
      <alignment horizontal="left" vertical="center"/>
      <protection hidden="1"/>
    </xf>
    <xf numFmtId="0" fontId="40" fillId="0" borderId="14" xfId="1" applyFont="1" applyBorder="1" applyAlignment="1" applyProtection="1">
      <alignment vertical="center"/>
      <protection hidden="1"/>
    </xf>
    <xf numFmtId="0" fontId="56" fillId="0" borderId="14" xfId="1" applyFont="1" applyBorder="1" applyProtection="1">
      <protection hidden="1"/>
    </xf>
    <xf numFmtId="0" fontId="11" fillId="0" borderId="0" xfId="1" applyAlignment="1" applyProtection="1">
      <alignment horizontal="left" vertical="center"/>
      <protection hidden="1"/>
    </xf>
    <xf numFmtId="0" fontId="69" fillId="4" borderId="17" xfId="0" applyFont="1" applyFill="1" applyBorder="1" applyAlignment="1" applyProtection="1">
      <alignment horizontal="center" vertical="center"/>
      <protection hidden="1"/>
    </xf>
    <xf numFmtId="0" fontId="14" fillId="5" borderId="11" xfId="0" applyFont="1" applyFill="1" applyBorder="1" applyAlignment="1" applyProtection="1">
      <alignment horizontal="center" vertical="center"/>
      <protection hidden="1"/>
    </xf>
    <xf numFmtId="0" fontId="51" fillId="0" borderId="0" xfId="1" applyFont="1" applyAlignment="1" applyProtection="1">
      <alignment horizontal="left" vertical="center" wrapText="1"/>
      <protection hidden="1"/>
    </xf>
    <xf numFmtId="0" fontId="9" fillId="0" borderId="11" xfId="0" applyFont="1" applyBorder="1" applyAlignment="1" applyProtection="1">
      <alignment horizontal="center" vertical="center"/>
      <protection hidden="1"/>
    </xf>
    <xf numFmtId="0" fontId="0" fillId="0" borderId="14" xfId="0" applyBorder="1" applyAlignment="1" applyProtection="1">
      <alignment horizontal="left" vertical="center"/>
      <protection hidden="1"/>
    </xf>
    <xf numFmtId="0" fontId="43" fillId="0" borderId="14" xfId="1" applyFont="1" applyBorder="1" applyAlignment="1" applyProtection="1">
      <alignment vertical="center" wrapText="1"/>
      <protection hidden="1"/>
    </xf>
    <xf numFmtId="0" fontId="59" fillId="0" borderId="14" xfId="1" applyFont="1" applyBorder="1" applyAlignment="1" applyProtection="1">
      <alignment horizontal="right" wrapText="1"/>
      <protection hidden="1"/>
    </xf>
    <xf numFmtId="0" fontId="58" fillId="0" borderId="14" xfId="1" applyFont="1" applyBorder="1" applyProtection="1">
      <protection hidden="1"/>
    </xf>
    <xf numFmtId="0" fontId="69" fillId="4" borderId="8" xfId="0" applyFont="1" applyFill="1" applyBorder="1" applyAlignment="1" applyProtection="1">
      <alignment horizontal="center" vertical="center"/>
      <protection hidden="1"/>
    </xf>
    <xf numFmtId="0" fontId="42" fillId="4" borderId="9" xfId="1" applyFont="1" applyFill="1" applyBorder="1" applyAlignment="1" applyProtection="1">
      <alignment vertical="center"/>
      <protection hidden="1"/>
    </xf>
    <xf numFmtId="0" fontId="68" fillId="4" borderId="9" xfId="1" applyFont="1" applyFill="1" applyBorder="1" applyProtection="1">
      <protection hidden="1"/>
    </xf>
    <xf numFmtId="0" fontId="14" fillId="4" borderId="10" xfId="1" applyFont="1" applyFill="1" applyBorder="1" applyProtection="1">
      <protection hidden="1"/>
    </xf>
    <xf numFmtId="0" fontId="42" fillId="5" borderId="0" xfId="1" applyFont="1" applyFill="1" applyAlignment="1" applyProtection="1">
      <alignment vertical="center"/>
      <protection hidden="1"/>
    </xf>
    <xf numFmtId="0" fontId="68" fillId="5" borderId="0" xfId="1" applyFont="1" applyFill="1" applyProtection="1">
      <protection hidden="1"/>
    </xf>
    <xf numFmtId="0" fontId="14" fillId="5" borderId="12" xfId="1" applyFont="1" applyFill="1" applyBorder="1" applyProtection="1">
      <protection hidden="1"/>
    </xf>
    <xf numFmtId="0" fontId="56" fillId="0" borderId="20" xfId="1" applyFont="1" applyBorder="1" applyProtection="1">
      <protection hidden="1"/>
    </xf>
    <xf numFmtId="0" fontId="69" fillId="5" borderId="13" xfId="0" applyFont="1" applyFill="1" applyBorder="1" applyAlignment="1" applyProtection="1">
      <alignment horizontal="center" vertical="center"/>
      <protection hidden="1"/>
    </xf>
    <xf numFmtId="0" fontId="57" fillId="0" borderId="14" xfId="0" applyFont="1" applyBorder="1" applyProtection="1">
      <protection hidden="1"/>
    </xf>
    <xf numFmtId="0" fontId="25" fillId="0" borderId="15" xfId="0" applyFont="1" applyBorder="1" applyProtection="1">
      <protection hidden="1"/>
    </xf>
    <xf numFmtId="0" fontId="14" fillId="4" borderId="11" xfId="1" applyFont="1" applyFill="1" applyBorder="1" applyAlignment="1" applyProtection="1">
      <alignment horizontal="center" vertical="center"/>
      <protection hidden="1"/>
    </xf>
    <xf numFmtId="0" fontId="69" fillId="4" borderId="0" xfId="1" applyFont="1" applyFill="1" applyAlignment="1" applyProtection="1">
      <alignment horizontal="left" vertical="center"/>
      <protection hidden="1"/>
    </xf>
    <xf numFmtId="0" fontId="66" fillId="4" borderId="0" xfId="0" applyFont="1" applyFill="1" applyAlignment="1" applyProtection="1">
      <alignment vertical="center"/>
      <protection hidden="1"/>
    </xf>
    <xf numFmtId="0" fontId="67" fillId="4" borderId="0" xfId="0" applyFont="1" applyFill="1" applyProtection="1">
      <protection hidden="1"/>
    </xf>
    <xf numFmtId="0" fontId="0" fillId="4" borderId="12" xfId="0" applyFill="1" applyBorder="1" applyProtection="1">
      <protection hidden="1"/>
    </xf>
    <xf numFmtId="0" fontId="66" fillId="5" borderId="0" xfId="0" applyFont="1" applyFill="1" applyAlignment="1" applyProtection="1">
      <alignment vertical="center"/>
      <protection hidden="1"/>
    </xf>
    <xf numFmtId="0" fontId="67" fillId="5" borderId="0" xfId="0" applyFont="1" applyFill="1" applyProtection="1">
      <protection hidden="1"/>
    </xf>
    <xf numFmtId="165" fontId="40" fillId="8" borderId="21" xfId="1" applyNumberFormat="1" applyFont="1" applyFill="1" applyBorder="1" applyAlignment="1" applyProtection="1">
      <alignment vertical="center"/>
      <protection hidden="1"/>
    </xf>
    <xf numFmtId="0" fontId="9" fillId="0" borderId="0" xfId="0" applyFont="1" applyAlignment="1" applyProtection="1">
      <alignment horizontal="center" vertical="center"/>
      <protection hidden="1"/>
    </xf>
    <xf numFmtId="0" fontId="25" fillId="0" borderId="0" xfId="0" applyFont="1" applyProtection="1">
      <protection hidden="1"/>
    </xf>
    <xf numFmtId="0" fontId="66" fillId="4" borderId="9" xfId="0" applyFont="1" applyFill="1" applyBorder="1" applyAlignment="1" applyProtection="1">
      <alignment vertical="center"/>
      <protection hidden="1"/>
    </xf>
    <xf numFmtId="0" fontId="67" fillId="4" borderId="9" xfId="0" applyFont="1" applyFill="1" applyBorder="1" applyProtection="1">
      <protection hidden="1"/>
    </xf>
    <xf numFmtId="0" fontId="60" fillId="0" borderId="0" xfId="0" applyFont="1" applyProtection="1">
      <protection hidden="1"/>
    </xf>
    <xf numFmtId="0" fontId="14" fillId="5" borderId="0" xfId="1" applyFont="1" applyFill="1" applyAlignment="1" applyProtection="1">
      <alignment horizontal="center" vertical="center"/>
      <protection hidden="1"/>
    </xf>
    <xf numFmtId="0" fontId="18" fillId="0" borderId="0" xfId="1" applyFont="1" applyAlignment="1" applyProtection="1">
      <alignment horizontal="left" vertical="center"/>
      <protection hidden="1"/>
    </xf>
    <xf numFmtId="0" fontId="0" fillId="0" borderId="0" xfId="0" applyAlignment="1" applyProtection="1">
      <alignment vertical="center"/>
      <protection hidden="1"/>
    </xf>
    <xf numFmtId="0" fontId="13" fillId="5" borderId="14" xfId="0" applyFont="1" applyFill="1" applyBorder="1" applyAlignment="1" applyProtection="1">
      <alignment horizontal="center" vertical="center"/>
      <protection hidden="1"/>
    </xf>
    <xf numFmtId="0" fontId="22" fillId="5" borderId="0" xfId="1" applyFont="1" applyFill="1" applyAlignment="1" applyProtection="1">
      <alignment horizontal="left" vertical="center"/>
      <protection hidden="1"/>
    </xf>
    <xf numFmtId="0" fontId="13" fillId="5" borderId="0" xfId="0" applyFont="1" applyFill="1" applyAlignment="1" applyProtection="1">
      <alignment horizontal="center" vertical="center"/>
      <protection hidden="1"/>
    </xf>
    <xf numFmtId="43" fontId="13" fillId="5" borderId="22" xfId="3" applyFont="1" applyFill="1" applyBorder="1" applyAlignment="1" applyProtection="1">
      <alignment horizontal="center" vertical="center"/>
      <protection hidden="1"/>
    </xf>
    <xf numFmtId="43" fontId="13" fillId="5" borderId="21" xfId="3" applyFont="1" applyFill="1" applyBorder="1" applyAlignment="1" applyProtection="1">
      <alignment horizontal="center" vertical="center"/>
      <protection hidden="1"/>
    </xf>
    <xf numFmtId="43" fontId="79" fillId="8" borderId="21" xfId="3" applyFont="1" applyFill="1" applyBorder="1" applyAlignment="1" applyProtection="1">
      <alignment horizontal="center" vertical="center"/>
      <protection hidden="1"/>
    </xf>
    <xf numFmtId="0" fontId="15" fillId="5" borderId="0" xfId="1" applyFont="1" applyFill="1" applyAlignment="1" applyProtection="1">
      <alignment horizontal="center" vertical="center"/>
      <protection hidden="1"/>
    </xf>
    <xf numFmtId="43" fontId="13" fillId="5" borderId="0" xfId="3" applyFont="1" applyFill="1" applyBorder="1" applyAlignment="1" applyProtection="1">
      <alignment horizontal="center" vertical="center"/>
      <protection hidden="1"/>
    </xf>
    <xf numFmtId="0" fontId="15" fillId="5" borderId="14" xfId="1" applyFont="1" applyFill="1" applyBorder="1" applyAlignment="1" applyProtection="1">
      <alignment horizontal="center" vertical="center"/>
      <protection hidden="1"/>
    </xf>
    <xf numFmtId="167" fontId="13" fillId="5" borderId="22" xfId="3" applyNumberFormat="1" applyFont="1" applyFill="1" applyBorder="1" applyAlignment="1" applyProtection="1">
      <alignment horizontal="center" vertical="center"/>
      <protection hidden="1"/>
    </xf>
    <xf numFmtId="166" fontId="15" fillId="5" borderId="14" xfId="1" applyNumberFormat="1" applyFont="1" applyFill="1" applyBorder="1" applyAlignment="1" applyProtection="1">
      <alignment horizontal="center" vertical="center"/>
      <protection hidden="1"/>
    </xf>
    <xf numFmtId="166" fontId="15" fillId="5" borderId="0" xfId="1" applyNumberFormat="1" applyFont="1" applyFill="1" applyAlignment="1" applyProtection="1">
      <alignment horizontal="center" vertical="center"/>
      <protection hidden="1"/>
    </xf>
    <xf numFmtId="166" fontId="13" fillId="5" borderId="22" xfId="2" applyNumberFormat="1" applyFont="1" applyFill="1" applyBorder="1" applyAlignment="1" applyProtection="1">
      <alignment horizontal="center" vertical="center"/>
      <protection hidden="1"/>
    </xf>
    <xf numFmtId="166" fontId="13" fillId="5" borderId="0" xfId="2" applyNumberFormat="1" applyFont="1" applyFill="1" applyBorder="1" applyAlignment="1" applyProtection="1">
      <alignment horizontal="center" vertical="center"/>
      <protection hidden="1"/>
    </xf>
    <xf numFmtId="165" fontId="13" fillId="5" borderId="22" xfId="3" applyNumberFormat="1" applyFont="1" applyFill="1" applyBorder="1" applyAlignment="1" applyProtection="1">
      <alignment horizontal="center" vertical="center"/>
      <protection hidden="1"/>
    </xf>
    <xf numFmtId="165" fontId="13" fillId="5" borderId="21" xfId="3" applyNumberFormat="1" applyFont="1" applyFill="1" applyBorder="1" applyAlignment="1" applyProtection="1">
      <alignment horizontal="center" vertical="center"/>
      <protection hidden="1"/>
    </xf>
    <xf numFmtId="165" fontId="13" fillId="5" borderId="0" xfId="3" applyNumberFormat="1" applyFont="1" applyFill="1" applyBorder="1" applyAlignment="1" applyProtection="1">
      <alignment horizontal="center" vertical="center"/>
      <protection hidden="1"/>
    </xf>
    <xf numFmtId="0" fontId="12" fillId="5" borderId="0" xfId="1" applyFont="1" applyFill="1" applyAlignment="1" applyProtection="1">
      <alignment horizontal="right" vertical="center"/>
      <protection hidden="1"/>
    </xf>
    <xf numFmtId="0" fontId="18" fillId="0" borderId="0" xfId="1" applyFont="1" applyAlignment="1" applyProtection="1">
      <alignment horizontal="right" vertical="center"/>
      <protection hidden="1"/>
    </xf>
    <xf numFmtId="0" fontId="17" fillId="0" borderId="0" xfId="1" applyFont="1" applyAlignment="1" applyProtection="1">
      <alignment horizontal="right" vertical="center"/>
      <protection hidden="1"/>
    </xf>
    <xf numFmtId="0" fontId="13" fillId="0" borderId="0" xfId="0" applyFont="1" applyProtection="1">
      <protection hidden="1"/>
    </xf>
    <xf numFmtId="0" fontId="17" fillId="0" borderId="0" xfId="1" applyFont="1" applyAlignment="1" applyProtection="1">
      <alignment horizontal="left" vertical="center"/>
      <protection hidden="1"/>
    </xf>
    <xf numFmtId="43" fontId="17" fillId="0" borderId="0" xfId="3" applyFont="1" applyAlignment="1" applyProtection="1">
      <alignment horizontal="center" vertical="center"/>
      <protection hidden="1"/>
    </xf>
    <xf numFmtId="0" fontId="12" fillId="0" borderId="0" xfId="1" applyFont="1" applyAlignment="1" applyProtection="1">
      <alignment horizontal="left" vertical="center"/>
      <protection hidden="1"/>
    </xf>
    <xf numFmtId="0" fontId="12" fillId="0" borderId="0" xfId="1" applyFont="1" applyAlignment="1" applyProtection="1">
      <alignment horizontal="right" vertical="center"/>
      <protection hidden="1"/>
    </xf>
    <xf numFmtId="43" fontId="12" fillId="0" borderId="0" xfId="3" applyFont="1" applyAlignment="1" applyProtection="1">
      <alignment horizontal="center" vertical="center"/>
      <protection hidden="1"/>
    </xf>
    <xf numFmtId="0" fontId="0" fillId="4" borderId="8" xfId="0" applyFill="1" applyBorder="1" applyAlignment="1" applyProtection="1">
      <alignment vertical="center"/>
      <protection hidden="1"/>
    </xf>
    <xf numFmtId="0" fontId="0" fillId="0" borderId="11" xfId="0" applyBorder="1" applyAlignment="1" applyProtection="1">
      <alignment vertical="center"/>
      <protection hidden="1"/>
    </xf>
    <xf numFmtId="0" fontId="11" fillId="0" borderId="0" xfId="1" applyProtection="1">
      <protection hidden="1"/>
    </xf>
    <xf numFmtId="0" fontId="0" fillId="0" borderId="13" xfId="0" applyBorder="1" applyAlignment="1" applyProtection="1">
      <alignment vertical="center"/>
      <protection hidden="1"/>
    </xf>
    <xf numFmtId="0" fontId="11" fillId="0" borderId="14" xfId="1" applyBorder="1" applyAlignment="1" applyProtection="1">
      <alignment vertical="center"/>
      <protection hidden="1"/>
    </xf>
    <xf numFmtId="0" fontId="18" fillId="0" borderId="14" xfId="1" applyFont="1" applyBorder="1" applyAlignment="1" applyProtection="1">
      <alignment vertical="center"/>
      <protection hidden="1"/>
    </xf>
    <xf numFmtId="0" fontId="11" fillId="0" borderId="15" xfId="1" applyBorder="1" applyAlignment="1" applyProtection="1">
      <alignment vertical="center"/>
      <protection hidden="1"/>
    </xf>
    <xf numFmtId="0" fontId="11" fillId="0" borderId="0" xfId="1" applyAlignment="1" applyProtection="1">
      <alignment vertical="center"/>
      <protection hidden="1"/>
    </xf>
    <xf numFmtId="0" fontId="37" fillId="5" borderId="0" xfId="1" applyFont="1" applyFill="1" applyAlignment="1" applyProtection="1">
      <alignment vertical="center"/>
      <protection hidden="1"/>
    </xf>
    <xf numFmtId="0" fontId="6" fillId="5" borderId="0" xfId="0" applyFont="1" applyFill="1" applyProtection="1">
      <protection hidden="1"/>
    </xf>
    <xf numFmtId="0" fontId="77" fillId="5" borderId="0" xfId="0" applyFont="1" applyFill="1" applyProtection="1">
      <protection hidden="1"/>
    </xf>
    <xf numFmtId="0" fontId="14" fillId="5" borderId="0" xfId="1" applyFont="1" applyFill="1" applyProtection="1">
      <protection hidden="1"/>
    </xf>
    <xf numFmtId="0" fontId="15" fillId="4" borderId="8" xfId="0" applyFont="1" applyFill="1" applyBorder="1" applyProtection="1">
      <protection hidden="1"/>
    </xf>
    <xf numFmtId="0" fontId="69" fillId="4" borderId="9" xfId="0" applyFont="1" applyFill="1" applyBorder="1" applyAlignment="1" applyProtection="1">
      <alignment vertical="center"/>
      <protection hidden="1"/>
    </xf>
    <xf numFmtId="0" fontId="14" fillId="4" borderId="9" xfId="1" applyFont="1" applyFill="1" applyBorder="1" applyAlignment="1" applyProtection="1">
      <alignment vertical="center"/>
      <protection hidden="1"/>
    </xf>
    <xf numFmtId="0" fontId="15" fillId="4" borderId="10" xfId="1" applyFont="1" applyFill="1" applyBorder="1" applyAlignment="1" applyProtection="1">
      <alignment vertical="center"/>
      <protection hidden="1"/>
    </xf>
    <xf numFmtId="0" fontId="15" fillId="5" borderId="11" xfId="0" applyFont="1" applyFill="1" applyBorder="1" applyProtection="1">
      <protection hidden="1"/>
    </xf>
    <xf numFmtId="0" fontId="14" fillId="5" borderId="0" xfId="0" applyFont="1" applyFill="1" applyAlignment="1" applyProtection="1">
      <alignment vertical="center"/>
      <protection hidden="1"/>
    </xf>
    <xf numFmtId="0" fontId="14" fillId="5" borderId="0" xfId="1" applyFont="1" applyFill="1" applyAlignment="1" applyProtection="1">
      <alignment vertical="center"/>
      <protection hidden="1"/>
    </xf>
    <xf numFmtId="0" fontId="15" fillId="5" borderId="12" xfId="1" applyFont="1" applyFill="1" applyBorder="1" applyAlignment="1" applyProtection="1">
      <alignment vertical="center"/>
      <protection hidden="1"/>
    </xf>
    <xf numFmtId="0" fontId="12" fillId="5" borderId="14" xfId="0" applyFont="1" applyFill="1" applyBorder="1" applyAlignment="1" applyProtection="1">
      <alignment vertical="center"/>
      <protection hidden="1"/>
    </xf>
    <xf numFmtId="0" fontId="71" fillId="4" borderId="9" xfId="1" applyFont="1" applyFill="1" applyBorder="1" applyAlignment="1" applyProtection="1">
      <alignment vertical="center"/>
      <protection hidden="1"/>
    </xf>
    <xf numFmtId="0" fontId="71" fillId="5" borderId="0" xfId="1" applyFont="1" applyFill="1" applyAlignment="1" applyProtection="1">
      <alignment vertical="center"/>
      <protection hidden="1"/>
    </xf>
    <xf numFmtId="0" fontId="27" fillId="5" borderId="0" xfId="0" applyFont="1" applyFill="1" applyProtection="1">
      <protection hidden="1"/>
    </xf>
    <xf numFmtId="0" fontId="12" fillId="5" borderId="0" xfId="1" applyFont="1" applyFill="1" applyAlignment="1" applyProtection="1">
      <alignment vertical="center"/>
      <protection hidden="1"/>
    </xf>
    <xf numFmtId="0" fontId="16" fillId="5" borderId="0" xfId="1" applyFont="1" applyFill="1" applyAlignment="1" applyProtection="1">
      <alignment vertical="center"/>
      <protection hidden="1"/>
    </xf>
    <xf numFmtId="0" fontId="16" fillId="5" borderId="12" xfId="1" applyFont="1" applyFill="1" applyBorder="1" applyAlignment="1" applyProtection="1">
      <alignment vertical="center"/>
      <protection hidden="1"/>
    </xf>
    <xf numFmtId="10" fontId="16" fillId="8" borderId="21" xfId="2" applyNumberFormat="1" applyFont="1" applyFill="1" applyBorder="1" applyAlignment="1" applyProtection="1">
      <alignment vertical="center"/>
      <protection hidden="1"/>
    </xf>
    <xf numFmtId="0" fontId="9" fillId="2" borderId="0" xfId="0" applyFont="1" applyFill="1" applyProtection="1">
      <protection hidden="1"/>
    </xf>
    <xf numFmtId="0" fontId="20" fillId="2" borderId="0" xfId="1" applyFont="1" applyFill="1" applyProtection="1">
      <protection hidden="1"/>
    </xf>
    <xf numFmtId="9" fontId="0" fillId="0" borderId="0" xfId="2" applyFont="1" applyProtection="1">
      <protection hidden="1"/>
    </xf>
    <xf numFmtId="0" fontId="16" fillId="0" borderId="0" xfId="1" applyFont="1" applyProtection="1">
      <protection hidden="1"/>
    </xf>
    <xf numFmtId="0" fontId="28" fillId="0" borderId="0" xfId="0" applyFont="1" applyAlignment="1" applyProtection="1">
      <alignment horizontal="left" vertical="center" indent="1"/>
      <protection hidden="1"/>
    </xf>
    <xf numFmtId="0" fontId="15" fillId="5" borderId="22" xfId="1" applyFont="1" applyFill="1" applyBorder="1" applyAlignment="1" applyProtection="1">
      <alignment horizontal="center" vertical="center"/>
      <protection locked="0" hidden="1"/>
    </xf>
    <xf numFmtId="0" fontId="15" fillId="5" borderId="21" xfId="1" applyFont="1" applyFill="1" applyBorder="1" applyAlignment="1" applyProtection="1">
      <alignment horizontal="center" vertical="center"/>
      <protection locked="0" hidden="1"/>
    </xf>
    <xf numFmtId="0" fontId="15" fillId="5" borderId="0" xfId="1" applyFont="1" applyFill="1" applyAlignment="1" applyProtection="1">
      <alignment horizontal="center" vertical="center"/>
      <protection locked="0" hidden="1"/>
    </xf>
    <xf numFmtId="0" fontId="70" fillId="3" borderId="5" xfId="1" applyFont="1" applyFill="1" applyBorder="1" applyAlignment="1" applyProtection="1">
      <alignment horizontal="left" vertical="center"/>
      <protection locked="0" hidden="1"/>
    </xf>
    <xf numFmtId="0" fontId="53" fillId="0" borderId="0" xfId="1" applyFont="1" applyAlignment="1" applyProtection="1">
      <alignment vertical="center"/>
      <protection hidden="1"/>
    </xf>
    <xf numFmtId="0" fontId="83" fillId="5" borderId="0" xfId="0" applyFont="1" applyFill="1" applyProtection="1">
      <protection hidden="1"/>
    </xf>
    <xf numFmtId="0" fontId="84" fillId="5" borderId="0" xfId="1" applyFont="1" applyFill="1" applyAlignment="1" applyProtection="1">
      <alignment horizontal="left" vertical="center"/>
      <protection hidden="1"/>
    </xf>
    <xf numFmtId="0" fontId="85" fillId="0" borderId="0" xfId="0" applyFont="1" applyAlignment="1" applyProtection="1">
      <alignment horizontal="left" vertical="center"/>
      <protection hidden="1"/>
    </xf>
    <xf numFmtId="0" fontId="85" fillId="0" borderId="11" xfId="0" applyFont="1" applyBorder="1" applyAlignment="1" applyProtection="1">
      <alignment vertical="center" wrapText="1"/>
      <protection hidden="1"/>
    </xf>
    <xf numFmtId="0" fontId="86" fillId="0" borderId="0" xfId="0" applyFont="1" applyAlignment="1" applyProtection="1">
      <alignment horizontal="left" vertical="center"/>
      <protection hidden="1"/>
    </xf>
    <xf numFmtId="0" fontId="85" fillId="0" borderId="0" xfId="0" applyFont="1" applyAlignment="1" applyProtection="1">
      <alignment vertical="center" wrapText="1"/>
      <protection hidden="1"/>
    </xf>
    <xf numFmtId="0" fontId="18" fillId="0" borderId="0" xfId="1" applyFont="1" applyProtection="1">
      <protection hidden="1"/>
    </xf>
    <xf numFmtId="0" fontId="18" fillId="5" borderId="0" xfId="1" applyFont="1" applyFill="1" applyProtection="1">
      <protection hidden="1"/>
    </xf>
    <xf numFmtId="0" fontId="88" fillId="5" borderId="0" xfId="0" applyFont="1" applyFill="1" applyProtection="1">
      <protection hidden="1"/>
    </xf>
    <xf numFmtId="0" fontId="85" fillId="0" borderId="0" xfId="0" applyFont="1" applyProtection="1">
      <protection hidden="1"/>
    </xf>
    <xf numFmtId="0" fontId="87" fillId="0" borderId="0" xfId="0" applyFont="1" applyProtection="1">
      <protection hidden="1"/>
    </xf>
    <xf numFmtId="0" fontId="85" fillId="5" borderId="0" xfId="0" applyFont="1" applyFill="1" applyProtection="1">
      <protection hidden="1"/>
    </xf>
    <xf numFmtId="0" fontId="86" fillId="0" borderId="0" xfId="1" applyFont="1" applyAlignment="1" applyProtection="1">
      <alignment vertical="center"/>
      <protection hidden="1"/>
    </xf>
    <xf numFmtId="0" fontId="86" fillId="0" borderId="0" xfId="1" applyFont="1" applyAlignment="1" applyProtection="1">
      <alignment horizontal="left" vertical="center"/>
      <protection hidden="1"/>
    </xf>
    <xf numFmtId="0" fontId="86" fillId="5" borderId="0" xfId="1" applyFont="1" applyFill="1" applyAlignment="1" applyProtection="1">
      <alignment horizontal="left" vertical="top"/>
      <protection hidden="1"/>
    </xf>
    <xf numFmtId="0" fontId="87" fillId="0" borderId="0" xfId="1" applyFont="1" applyProtection="1">
      <protection hidden="1"/>
    </xf>
    <xf numFmtId="0" fontId="89" fillId="0" borderId="0" xfId="1" applyFont="1" applyProtection="1">
      <protection hidden="1"/>
    </xf>
    <xf numFmtId="0" fontId="90" fillId="0" borderId="0" xfId="1" applyFont="1" applyProtection="1">
      <protection hidden="1"/>
    </xf>
    <xf numFmtId="0" fontId="91" fillId="5" borderId="0" xfId="0" applyFont="1" applyFill="1" applyProtection="1">
      <protection hidden="1"/>
    </xf>
    <xf numFmtId="0" fontId="85" fillId="0" borderId="0" xfId="0" applyFont="1" applyAlignment="1" applyProtection="1">
      <alignment vertical="center"/>
      <protection hidden="1"/>
    </xf>
    <xf numFmtId="0" fontId="95" fillId="5" borderId="0" xfId="0" applyFont="1" applyFill="1" applyProtection="1">
      <protection hidden="1"/>
    </xf>
    <xf numFmtId="0" fontId="96" fillId="5" borderId="0" xfId="0" applyFont="1" applyFill="1" applyProtection="1">
      <protection hidden="1"/>
    </xf>
    <xf numFmtId="0" fontId="96" fillId="5" borderId="0" xfId="0" quotePrefix="1" applyFont="1" applyFill="1" applyProtection="1">
      <protection hidden="1"/>
    </xf>
    <xf numFmtId="0" fontId="87" fillId="5" borderId="0" xfId="0" applyFont="1" applyFill="1" applyProtection="1">
      <protection hidden="1"/>
    </xf>
    <xf numFmtId="0" fontId="98" fillId="0" borderId="0" xfId="0" applyFont="1"/>
    <xf numFmtId="0" fontId="97" fillId="12" borderId="11" xfId="0" applyFont="1" applyFill="1" applyBorder="1" applyAlignment="1" applyProtection="1">
      <alignment horizontal="left"/>
      <protection hidden="1"/>
    </xf>
    <xf numFmtId="167" fontId="0" fillId="0" borderId="0" xfId="3" applyNumberFormat="1" applyFont="1" applyProtection="1">
      <protection hidden="1"/>
    </xf>
    <xf numFmtId="171" fontId="0" fillId="0" borderId="0" xfId="0" applyNumberFormat="1" applyProtection="1">
      <protection hidden="1"/>
    </xf>
    <xf numFmtId="0" fontId="16" fillId="8" borderId="21" xfId="1" applyFont="1" applyFill="1" applyBorder="1" applyAlignment="1" applyProtection="1">
      <alignment horizontal="center" vertical="center"/>
      <protection hidden="1"/>
    </xf>
    <xf numFmtId="0" fontId="85" fillId="0" borderId="0" xfId="0" applyFont="1" applyAlignment="1" applyProtection="1">
      <alignment horizontal="left" vertical="center" wrapText="1"/>
      <protection hidden="1"/>
    </xf>
    <xf numFmtId="0" fontId="85" fillId="5" borderId="0" xfId="0" quotePrefix="1" applyFont="1" applyFill="1" applyProtection="1">
      <protection hidden="1"/>
    </xf>
    <xf numFmtId="0" fontId="85" fillId="5" borderId="0" xfId="0" applyFont="1" applyFill="1" applyAlignment="1" applyProtection="1">
      <alignment wrapText="1"/>
      <protection hidden="1"/>
    </xf>
    <xf numFmtId="0" fontId="16" fillId="5" borderId="0" xfId="1" applyFont="1" applyFill="1" applyAlignment="1" applyProtection="1">
      <alignment horizontal="left" vertical="center"/>
      <protection hidden="1"/>
    </xf>
    <xf numFmtId="172" fontId="40" fillId="0" borderId="14" xfId="3" applyNumberFormat="1" applyFont="1" applyBorder="1" applyAlignment="1" applyProtection="1">
      <alignment vertical="center"/>
      <protection hidden="1"/>
    </xf>
    <xf numFmtId="0" fontId="18" fillId="0" borderId="0" xfId="0" applyFont="1" applyAlignment="1" applyProtection="1">
      <alignment horizontal="center" vertical="center"/>
      <protection hidden="1"/>
    </xf>
    <xf numFmtId="0" fontId="27" fillId="0" borderId="0" xfId="0" applyFont="1" applyAlignment="1" applyProtection="1">
      <alignment horizontal="left" vertical="center"/>
      <protection hidden="1"/>
    </xf>
    <xf numFmtId="43" fontId="4" fillId="0" borderId="0" xfId="3" applyFont="1" applyAlignment="1" applyProtection="1">
      <alignment horizontal="center" vertical="center"/>
      <protection hidden="1"/>
    </xf>
    <xf numFmtId="0" fontId="4" fillId="0" borderId="0" xfId="1" applyFont="1" applyAlignment="1" applyProtection="1">
      <alignment horizontal="center" vertical="center"/>
      <protection hidden="1"/>
    </xf>
    <xf numFmtId="0" fontId="4" fillId="0" borderId="0" xfId="1" applyFont="1" applyAlignment="1" applyProtection="1">
      <alignment horizontal="right" vertical="center"/>
      <protection hidden="1"/>
    </xf>
    <xf numFmtId="0" fontId="4" fillId="0" borderId="14" xfId="1" applyFont="1" applyBorder="1" applyAlignment="1" applyProtection="1">
      <alignment horizontal="left" vertical="center"/>
      <protection hidden="1"/>
    </xf>
    <xf numFmtId="43" fontId="4" fillId="5" borderId="14" xfId="3" applyFont="1" applyFill="1" applyBorder="1" applyAlignment="1" applyProtection="1">
      <alignment horizontal="center" vertical="center"/>
      <protection hidden="1"/>
    </xf>
    <xf numFmtId="0" fontId="4" fillId="5" borderId="14" xfId="1" applyFont="1" applyFill="1" applyBorder="1" applyAlignment="1" applyProtection="1">
      <alignment horizontal="center" vertical="center"/>
      <protection hidden="1"/>
    </xf>
    <xf numFmtId="0" fontId="4" fillId="5" borderId="14" xfId="1" applyFont="1" applyFill="1" applyBorder="1" applyAlignment="1" applyProtection="1">
      <alignment horizontal="right" vertical="center"/>
      <protection hidden="1"/>
    </xf>
    <xf numFmtId="0" fontId="4" fillId="5" borderId="14" xfId="0" applyFont="1" applyFill="1" applyBorder="1" applyAlignment="1" applyProtection="1">
      <alignment horizontal="center" vertical="center"/>
      <protection hidden="1"/>
    </xf>
    <xf numFmtId="0" fontId="4" fillId="5" borderId="14" xfId="0" applyFont="1" applyFill="1" applyBorder="1" applyAlignment="1" applyProtection="1">
      <alignment horizontal="right" vertical="center"/>
      <protection hidden="1"/>
    </xf>
    <xf numFmtId="0" fontId="104" fillId="0" borderId="0" xfId="0" applyFont="1" applyAlignment="1" applyProtection="1">
      <alignment horizontal="left" vertical="center"/>
      <protection hidden="1"/>
    </xf>
    <xf numFmtId="0" fontId="104" fillId="0" borderId="14" xfId="1" applyFont="1" applyBorder="1" applyAlignment="1" applyProtection="1">
      <alignment horizontal="left" vertical="center"/>
      <protection hidden="1"/>
    </xf>
    <xf numFmtId="0" fontId="40" fillId="7" borderId="15" xfId="0" applyFont="1" applyFill="1" applyBorder="1" applyAlignment="1" applyProtection="1">
      <alignment horizontal="left" vertical="top" wrapText="1"/>
      <protection hidden="1"/>
    </xf>
    <xf numFmtId="0" fontId="4" fillId="0" borderId="20" xfId="1" applyFont="1" applyBorder="1" applyAlignment="1" applyProtection="1">
      <alignment horizontal="left" vertical="center"/>
      <protection hidden="1"/>
    </xf>
    <xf numFmtId="0" fontId="4" fillId="0" borderId="21" xfId="1" applyFont="1" applyBorder="1" applyAlignment="1" applyProtection="1">
      <alignment horizontal="left" vertical="center"/>
      <protection hidden="1"/>
    </xf>
    <xf numFmtId="0" fontId="4" fillId="0" borderId="0" xfId="1" applyFont="1" applyAlignment="1" applyProtection="1">
      <alignment horizontal="left" vertical="center"/>
      <protection hidden="1"/>
    </xf>
    <xf numFmtId="0" fontId="4" fillId="0" borderId="22" xfId="1" applyFont="1" applyBorder="1" applyAlignment="1" applyProtection="1">
      <alignment horizontal="left" vertical="center"/>
      <protection hidden="1"/>
    </xf>
    <xf numFmtId="0" fontId="4" fillId="0" borderId="0" xfId="1" applyFont="1" applyAlignment="1" applyProtection="1">
      <alignment vertical="center"/>
      <protection hidden="1"/>
    </xf>
    <xf numFmtId="0" fontId="4" fillId="0" borderId="0" xfId="1" applyFont="1" applyProtection="1">
      <protection hidden="1"/>
    </xf>
    <xf numFmtId="0" fontId="4" fillId="0" borderId="0" xfId="0" applyFont="1" applyAlignment="1" applyProtection="1">
      <alignment horizontal="right" vertical="center"/>
      <protection hidden="1"/>
    </xf>
    <xf numFmtId="0" fontId="4" fillId="5" borderId="0" xfId="1" applyFont="1" applyFill="1" applyProtection="1">
      <protection hidden="1"/>
    </xf>
    <xf numFmtId="0" fontId="4" fillId="5" borderId="8" xfId="1" applyFont="1" applyFill="1" applyBorder="1" applyProtection="1">
      <protection hidden="1"/>
    </xf>
    <xf numFmtId="43" fontId="4" fillId="0" borderId="9" xfId="3" applyFont="1" applyBorder="1" applyAlignment="1" applyProtection="1">
      <alignment horizontal="center" vertical="center"/>
      <protection hidden="1"/>
    </xf>
    <xf numFmtId="0" fontId="4" fillId="0" borderId="9" xfId="1" applyFont="1" applyBorder="1" applyAlignment="1" applyProtection="1">
      <alignment horizontal="center" vertical="center"/>
      <protection hidden="1"/>
    </xf>
    <xf numFmtId="0" fontId="4" fillId="0" borderId="9" xfId="1" applyFont="1" applyBorder="1" applyAlignment="1" applyProtection="1">
      <alignment horizontal="right" vertical="center"/>
      <protection hidden="1"/>
    </xf>
    <xf numFmtId="0" fontId="4" fillId="0" borderId="10" xfId="1" applyFont="1" applyBorder="1" applyAlignment="1" applyProtection="1">
      <alignment horizontal="left" vertical="center"/>
      <protection hidden="1"/>
    </xf>
    <xf numFmtId="0" fontId="4" fillId="5" borderId="11" xfId="1" applyFont="1" applyFill="1" applyBorder="1" applyProtection="1">
      <protection hidden="1"/>
    </xf>
    <xf numFmtId="0" fontId="4" fillId="0" borderId="12" xfId="1" applyFont="1" applyBorder="1" applyAlignment="1" applyProtection="1">
      <alignment horizontal="left" vertical="center"/>
      <protection hidden="1"/>
    </xf>
    <xf numFmtId="0" fontId="4" fillId="5" borderId="13" xfId="1" applyFont="1" applyFill="1" applyBorder="1" applyProtection="1">
      <protection hidden="1"/>
    </xf>
    <xf numFmtId="0" fontId="4" fillId="5" borderId="14" xfId="1" applyFont="1" applyFill="1" applyBorder="1" applyAlignment="1" applyProtection="1">
      <alignment vertical="center"/>
      <protection hidden="1"/>
    </xf>
    <xf numFmtId="0" fontId="4" fillId="5" borderId="15" xfId="1" applyFont="1" applyFill="1" applyBorder="1" applyAlignment="1" applyProtection="1">
      <alignment horizontal="left" vertical="center"/>
      <protection hidden="1"/>
    </xf>
    <xf numFmtId="0" fontId="4" fillId="2" borderId="0" xfId="1" applyFont="1" applyFill="1" applyProtection="1">
      <protection hidden="1"/>
    </xf>
    <xf numFmtId="0" fontId="4" fillId="5" borderId="0" xfId="1" applyFont="1" applyFill="1" applyAlignment="1" applyProtection="1">
      <alignment vertical="center"/>
      <protection hidden="1"/>
    </xf>
    <xf numFmtId="0" fontId="4" fillId="5" borderId="0" xfId="1" applyFont="1" applyFill="1" applyAlignment="1" applyProtection="1">
      <alignment horizontal="left" vertical="center"/>
      <protection hidden="1"/>
    </xf>
    <xf numFmtId="43" fontId="4" fillId="5" borderId="0" xfId="3" applyFont="1" applyFill="1" applyBorder="1" applyAlignment="1" applyProtection="1">
      <alignment horizontal="center" vertical="center"/>
      <protection hidden="1"/>
    </xf>
    <xf numFmtId="0" fontId="4" fillId="5" borderId="0" xfId="1" applyFont="1" applyFill="1" applyAlignment="1" applyProtection="1">
      <alignment horizontal="center" vertical="center"/>
      <protection hidden="1"/>
    </xf>
    <xf numFmtId="0" fontId="4" fillId="5" borderId="0" xfId="1" applyFont="1" applyFill="1" applyAlignment="1" applyProtection="1">
      <alignment horizontal="right" vertical="center"/>
      <protection hidden="1"/>
    </xf>
    <xf numFmtId="0" fontId="4" fillId="5" borderId="0" xfId="0" applyFont="1" applyFill="1" applyAlignment="1" applyProtection="1">
      <alignment horizontal="right" vertical="center"/>
      <protection hidden="1"/>
    </xf>
    <xf numFmtId="0" fontId="4" fillId="5" borderId="12" xfId="1" applyFont="1" applyFill="1" applyBorder="1" applyAlignment="1" applyProtection="1">
      <alignment horizontal="left" vertical="center"/>
      <protection hidden="1"/>
    </xf>
    <xf numFmtId="0" fontId="4" fillId="5" borderId="22" xfId="1" applyFont="1" applyFill="1" applyBorder="1" applyAlignment="1" applyProtection="1">
      <alignment vertical="center"/>
      <protection hidden="1"/>
    </xf>
    <xf numFmtId="0" fontId="4" fillId="9" borderId="22" xfId="1" applyFont="1" applyFill="1" applyBorder="1" applyAlignment="1" applyProtection="1">
      <alignment horizontal="left" vertical="center"/>
      <protection locked="0" hidden="1"/>
    </xf>
    <xf numFmtId="0" fontId="4" fillId="9" borderId="22" xfId="1" applyFont="1" applyFill="1" applyBorder="1" applyAlignment="1" applyProtection="1">
      <alignment horizontal="right" vertical="center"/>
      <protection locked="0" hidden="1"/>
    </xf>
    <xf numFmtId="43" fontId="4" fillId="5" borderId="22" xfId="3" applyFont="1" applyFill="1" applyBorder="1" applyAlignment="1" applyProtection="1">
      <alignment horizontal="center" vertical="center"/>
      <protection locked="0" hidden="1"/>
    </xf>
    <xf numFmtId="0" fontId="4" fillId="5" borderId="22" xfId="1" applyFont="1" applyFill="1" applyBorder="1" applyAlignment="1" applyProtection="1">
      <alignment horizontal="center" vertical="center"/>
      <protection hidden="1"/>
    </xf>
    <xf numFmtId="0" fontId="4" fillId="5" borderId="22" xfId="1" applyFont="1" applyFill="1" applyBorder="1" applyAlignment="1" applyProtection="1">
      <alignment horizontal="center" vertical="center"/>
      <protection locked="0" hidden="1"/>
    </xf>
    <xf numFmtId="0" fontId="4" fillId="8" borderId="22" xfId="1" applyFont="1" applyFill="1" applyBorder="1" applyAlignment="1" applyProtection="1">
      <alignment horizontal="center" vertical="center"/>
      <protection locked="0" hidden="1"/>
    </xf>
    <xf numFmtId="43" fontId="4" fillId="5" borderId="22" xfId="3" applyFont="1" applyFill="1" applyBorder="1" applyAlignment="1" applyProtection="1">
      <alignment horizontal="right" vertical="center"/>
      <protection hidden="1"/>
    </xf>
    <xf numFmtId="170" fontId="4" fillId="5" borderId="22" xfId="3" applyNumberFormat="1" applyFont="1" applyFill="1" applyBorder="1" applyAlignment="1" applyProtection="1">
      <alignment horizontal="right" vertical="center"/>
      <protection hidden="1"/>
    </xf>
    <xf numFmtId="0" fontId="4" fillId="5" borderId="23" xfId="1" applyFont="1" applyFill="1" applyBorder="1" applyAlignment="1" applyProtection="1">
      <alignment horizontal="left" vertical="center"/>
      <protection hidden="1"/>
    </xf>
    <xf numFmtId="0" fontId="4" fillId="5" borderId="21" xfId="1" applyFont="1" applyFill="1" applyBorder="1" applyAlignment="1" applyProtection="1">
      <alignment vertical="center"/>
      <protection hidden="1"/>
    </xf>
    <xf numFmtId="0" fontId="4" fillId="9" borderId="21" xfId="1" applyFont="1" applyFill="1" applyBorder="1" applyAlignment="1" applyProtection="1">
      <alignment horizontal="left" vertical="center"/>
      <protection locked="0" hidden="1"/>
    </xf>
    <xf numFmtId="0" fontId="4" fillId="9" borderId="21" xfId="1" applyFont="1" applyFill="1" applyBorder="1" applyAlignment="1" applyProtection="1">
      <alignment horizontal="right" vertical="center"/>
      <protection locked="0" hidden="1"/>
    </xf>
    <xf numFmtId="43" fontId="4" fillId="5" borderId="21" xfId="3" applyFont="1" applyFill="1" applyBorder="1" applyAlignment="1" applyProtection="1">
      <alignment horizontal="center" vertical="center"/>
      <protection locked="0" hidden="1"/>
    </xf>
    <xf numFmtId="0" fontId="4" fillId="5" borderId="21" xfId="1" applyFont="1" applyFill="1" applyBorder="1" applyAlignment="1" applyProtection="1">
      <alignment horizontal="center" vertical="center"/>
      <protection hidden="1"/>
    </xf>
    <xf numFmtId="0" fontId="4" fillId="5" borderId="21" xfId="1" applyFont="1" applyFill="1" applyBorder="1" applyAlignment="1" applyProtection="1">
      <alignment horizontal="center" vertical="center"/>
      <protection locked="0" hidden="1"/>
    </xf>
    <xf numFmtId="0" fontId="4" fillId="8" borderId="21" xfId="1" applyFont="1" applyFill="1" applyBorder="1" applyAlignment="1" applyProtection="1">
      <alignment horizontal="center" vertical="center"/>
      <protection locked="0" hidden="1"/>
    </xf>
    <xf numFmtId="43" fontId="4" fillId="5" borderId="21" xfId="3" applyFont="1" applyFill="1" applyBorder="1" applyAlignment="1" applyProtection="1">
      <alignment horizontal="right" vertical="center"/>
      <protection hidden="1"/>
    </xf>
    <xf numFmtId="170" fontId="4" fillId="5" borderId="21" xfId="3" applyNumberFormat="1" applyFont="1" applyFill="1" applyBorder="1" applyAlignment="1" applyProtection="1">
      <alignment horizontal="right" vertical="center"/>
      <protection hidden="1"/>
    </xf>
    <xf numFmtId="0" fontId="4" fillId="5" borderId="24" xfId="1" applyFont="1" applyFill="1" applyBorder="1" applyAlignment="1" applyProtection="1">
      <alignment horizontal="left" vertical="center"/>
      <protection hidden="1"/>
    </xf>
    <xf numFmtId="0" fontId="4" fillId="5" borderId="0" xfId="1" applyFont="1" applyFill="1" applyAlignment="1" applyProtection="1">
      <alignment horizontal="left" vertical="center"/>
      <protection locked="0" hidden="1"/>
    </xf>
    <xf numFmtId="0" fontId="4" fillId="5" borderId="0" xfId="1" applyFont="1" applyFill="1" applyAlignment="1" applyProtection="1">
      <alignment horizontal="right" vertical="center"/>
      <protection locked="0" hidden="1"/>
    </xf>
    <xf numFmtId="43" fontId="4" fillId="5" borderId="0" xfId="3" applyFont="1" applyFill="1" applyBorder="1" applyAlignment="1" applyProtection="1">
      <alignment horizontal="center" vertical="center"/>
      <protection locked="0" hidden="1"/>
    </xf>
    <xf numFmtId="0" fontId="4" fillId="5" borderId="0" xfId="1" applyFont="1" applyFill="1" applyAlignment="1" applyProtection="1">
      <alignment horizontal="center" vertical="center"/>
      <protection locked="0" hidden="1"/>
    </xf>
    <xf numFmtId="43" fontId="4" fillId="5" borderId="0" xfId="3" applyFont="1" applyFill="1" applyBorder="1" applyAlignment="1" applyProtection="1">
      <alignment horizontal="right" vertical="center"/>
      <protection hidden="1"/>
    </xf>
    <xf numFmtId="170" fontId="4" fillId="5" borderId="0" xfId="3" applyNumberFormat="1" applyFont="1" applyFill="1" applyBorder="1" applyAlignment="1" applyProtection="1">
      <alignment horizontal="right" vertical="center"/>
      <protection hidden="1"/>
    </xf>
    <xf numFmtId="166" fontId="4" fillId="5" borderId="0" xfId="1" applyNumberFormat="1" applyFont="1" applyFill="1" applyAlignment="1" applyProtection="1">
      <alignment horizontal="center" vertical="center"/>
      <protection hidden="1"/>
    </xf>
    <xf numFmtId="0" fontId="4" fillId="5" borderId="14" xfId="1" applyFont="1" applyFill="1" applyBorder="1" applyAlignment="1" applyProtection="1">
      <alignment horizontal="left" vertical="center"/>
      <protection hidden="1"/>
    </xf>
    <xf numFmtId="166" fontId="4" fillId="5" borderId="14" xfId="1" applyNumberFormat="1" applyFont="1" applyFill="1" applyBorder="1" applyAlignment="1" applyProtection="1">
      <alignment horizontal="center" vertical="center"/>
      <protection hidden="1"/>
    </xf>
    <xf numFmtId="43" fontId="4" fillId="5" borderId="0" xfId="3" applyFont="1" applyFill="1" applyAlignment="1" applyProtection="1">
      <alignment horizontal="center" vertical="center"/>
      <protection hidden="1"/>
    </xf>
    <xf numFmtId="43" fontId="4" fillId="5" borderId="0" xfId="1" applyNumberFormat="1" applyFont="1" applyFill="1" applyAlignment="1" applyProtection="1">
      <alignment horizontal="right" vertical="center"/>
      <protection hidden="1"/>
    </xf>
    <xf numFmtId="0" fontId="4" fillId="5" borderId="22" xfId="1" applyFont="1" applyFill="1" applyBorder="1" applyAlignment="1" applyProtection="1">
      <alignment horizontal="right" vertical="center"/>
      <protection locked="0" hidden="1"/>
    </xf>
    <xf numFmtId="167" fontId="4" fillId="5" borderId="22" xfId="3" applyNumberFormat="1" applyFont="1" applyFill="1" applyBorder="1" applyAlignment="1" applyProtection="1">
      <alignment horizontal="right" vertical="center"/>
      <protection hidden="1"/>
    </xf>
    <xf numFmtId="0" fontId="4" fillId="6" borderId="0" xfId="1" applyFont="1" applyFill="1" applyAlignment="1" applyProtection="1">
      <alignment horizontal="center" vertical="center"/>
      <protection locked="0" hidden="1"/>
    </xf>
    <xf numFmtId="166" fontId="4" fillId="5" borderId="14" xfId="1" applyNumberFormat="1" applyFont="1" applyFill="1" applyBorder="1" applyAlignment="1" applyProtection="1">
      <alignment horizontal="right" vertical="center"/>
      <protection hidden="1"/>
    </xf>
    <xf numFmtId="166" fontId="4" fillId="5" borderId="0" xfId="1" applyNumberFormat="1" applyFont="1" applyFill="1" applyAlignment="1" applyProtection="1">
      <alignment horizontal="right" vertical="center"/>
      <protection hidden="1"/>
    </xf>
    <xf numFmtId="0" fontId="4" fillId="5" borderId="22" xfId="1" applyFont="1" applyFill="1" applyBorder="1" applyAlignment="1" applyProtection="1">
      <alignment horizontal="left" vertical="center"/>
      <protection locked="0" hidden="1"/>
    </xf>
    <xf numFmtId="166" fontId="4" fillId="5" borderId="22" xfId="2" applyNumberFormat="1" applyFont="1" applyFill="1" applyBorder="1" applyAlignment="1" applyProtection="1">
      <alignment horizontal="right" vertical="center"/>
      <protection hidden="1"/>
    </xf>
    <xf numFmtId="0" fontId="4" fillId="8" borderId="0" xfId="1" applyFont="1" applyFill="1" applyAlignment="1" applyProtection="1">
      <alignment horizontal="center" vertical="center"/>
      <protection locked="0" hidden="1"/>
    </xf>
    <xf numFmtId="166" fontId="4" fillId="5" borderId="0" xfId="2" applyNumberFormat="1" applyFont="1" applyFill="1" applyBorder="1" applyAlignment="1" applyProtection="1">
      <alignment horizontal="right" vertical="center"/>
      <protection hidden="1"/>
    </xf>
    <xf numFmtId="3" fontId="4" fillId="5" borderId="0" xfId="1" applyNumberFormat="1" applyFont="1" applyFill="1" applyAlignment="1" applyProtection="1">
      <alignment horizontal="right" vertical="center"/>
      <protection hidden="1"/>
    </xf>
    <xf numFmtId="3" fontId="4" fillId="5" borderId="0" xfId="0" applyNumberFormat="1" applyFont="1" applyFill="1" applyAlignment="1" applyProtection="1">
      <alignment horizontal="right" vertical="center"/>
      <protection hidden="1"/>
    </xf>
    <xf numFmtId="3" fontId="4" fillId="5" borderId="14" xfId="1" applyNumberFormat="1" applyFont="1" applyFill="1" applyBorder="1" applyAlignment="1" applyProtection="1">
      <alignment horizontal="right" vertical="center"/>
      <protection hidden="1"/>
    </xf>
    <xf numFmtId="3" fontId="4" fillId="5" borderId="14" xfId="0" applyNumberFormat="1" applyFont="1" applyFill="1" applyBorder="1" applyAlignment="1" applyProtection="1">
      <alignment horizontal="right" vertical="center"/>
      <protection hidden="1"/>
    </xf>
    <xf numFmtId="9" fontId="4" fillId="5" borderId="22" xfId="2" applyFont="1" applyFill="1" applyBorder="1" applyAlignment="1" applyProtection="1">
      <alignment horizontal="center" vertical="center"/>
      <protection locked="0" hidden="1"/>
    </xf>
    <xf numFmtId="165" fontId="4" fillId="5" borderId="22" xfId="3" applyNumberFormat="1" applyFont="1" applyFill="1" applyBorder="1" applyAlignment="1" applyProtection="1">
      <alignment horizontal="right" vertical="center"/>
      <protection hidden="1"/>
    </xf>
    <xf numFmtId="0" fontId="4" fillId="5" borderId="21" xfId="1" applyFont="1" applyFill="1" applyBorder="1" applyAlignment="1" applyProtection="1">
      <alignment horizontal="left" vertical="center"/>
      <protection locked="0" hidden="1"/>
    </xf>
    <xf numFmtId="0" fontId="4" fillId="5" borderId="21" xfId="1" applyFont="1" applyFill="1" applyBorder="1" applyAlignment="1" applyProtection="1">
      <alignment horizontal="right" vertical="center"/>
      <protection locked="0" hidden="1"/>
    </xf>
    <xf numFmtId="0" fontId="4" fillId="5" borderId="21" xfId="2" applyNumberFormat="1" applyFont="1" applyFill="1" applyBorder="1" applyAlignment="1" applyProtection="1">
      <alignment horizontal="center" vertical="center"/>
      <protection locked="0" hidden="1"/>
    </xf>
    <xf numFmtId="165" fontId="4" fillId="5" borderId="21" xfId="3" applyNumberFormat="1" applyFont="1" applyFill="1" applyBorder="1" applyAlignment="1" applyProtection="1">
      <alignment horizontal="right" vertical="center"/>
      <protection hidden="1"/>
    </xf>
    <xf numFmtId="0" fontId="4" fillId="5" borderId="0" xfId="2" applyNumberFormat="1" applyFont="1" applyFill="1" applyBorder="1" applyAlignment="1" applyProtection="1">
      <alignment horizontal="center" vertical="center"/>
      <protection locked="0" hidden="1"/>
    </xf>
    <xf numFmtId="165" fontId="4" fillId="5" borderId="0" xfId="3" applyNumberFormat="1" applyFont="1" applyFill="1" applyBorder="1" applyAlignment="1" applyProtection="1">
      <alignment horizontal="right" vertical="center"/>
      <protection hidden="1"/>
    </xf>
    <xf numFmtId="0" fontId="4" fillId="4" borderId="11" xfId="1" applyFont="1" applyFill="1" applyBorder="1" applyProtection="1">
      <protection hidden="1"/>
    </xf>
    <xf numFmtId="3" fontId="4" fillId="0" borderId="0" xfId="0" applyNumberFormat="1" applyFont="1" applyAlignment="1" applyProtection="1">
      <alignment horizontal="right" vertical="center"/>
      <protection hidden="1"/>
    </xf>
    <xf numFmtId="0" fontId="4" fillId="0" borderId="0" xfId="0" applyFont="1" applyProtection="1">
      <protection hidden="1"/>
    </xf>
    <xf numFmtId="165" fontId="4" fillId="10" borderId="20" xfId="1" applyNumberFormat="1" applyFont="1" applyFill="1" applyBorder="1" applyAlignment="1" applyProtection="1">
      <alignment vertical="center"/>
      <protection locked="0"/>
    </xf>
    <xf numFmtId="0" fontId="4" fillId="0" borderId="21" xfId="1" applyFont="1" applyBorder="1" applyAlignment="1" applyProtection="1">
      <alignment vertical="center"/>
      <protection hidden="1"/>
    </xf>
    <xf numFmtId="165" fontId="4" fillId="8" borderId="21" xfId="1" applyNumberFormat="1" applyFont="1" applyFill="1" applyBorder="1" applyAlignment="1" applyProtection="1">
      <alignment vertical="center"/>
      <protection hidden="1"/>
    </xf>
    <xf numFmtId="165" fontId="4" fillId="10" borderId="21" xfId="1" applyNumberFormat="1" applyFont="1" applyFill="1" applyBorder="1" applyAlignment="1" applyProtection="1">
      <alignment vertical="center"/>
      <protection locked="0"/>
    </xf>
    <xf numFmtId="0" fontId="4" fillId="0" borderId="12" xfId="1" applyFont="1" applyBorder="1" applyAlignment="1" applyProtection="1">
      <alignment vertical="center"/>
      <protection hidden="1"/>
    </xf>
    <xf numFmtId="0" fontId="4" fillId="0" borderId="14" xfId="1" applyFont="1" applyBorder="1" applyAlignment="1" applyProtection="1">
      <alignment vertical="center"/>
      <protection hidden="1"/>
    </xf>
    <xf numFmtId="0" fontId="4" fillId="5" borderId="0" xfId="0" applyFont="1" applyFill="1" applyProtection="1">
      <protection hidden="1"/>
    </xf>
    <xf numFmtId="0" fontId="4" fillId="5" borderId="11" xfId="0" applyFont="1" applyFill="1" applyBorder="1" applyProtection="1">
      <protection hidden="1"/>
    </xf>
    <xf numFmtId="0" fontId="4" fillId="5" borderId="14" xfId="0" applyFont="1" applyFill="1" applyBorder="1" applyAlignment="1" applyProtection="1">
      <alignment vertical="center"/>
      <protection hidden="1"/>
    </xf>
    <xf numFmtId="0" fontId="4" fillId="5" borderId="0" xfId="0" applyFont="1" applyFill="1" applyAlignment="1" applyProtection="1">
      <alignment vertical="center"/>
      <protection hidden="1"/>
    </xf>
    <xf numFmtId="0" fontId="4" fillId="5" borderId="12" xfId="0" applyFont="1" applyFill="1" applyBorder="1" applyAlignment="1" applyProtection="1">
      <alignment vertical="center"/>
      <protection hidden="1"/>
    </xf>
    <xf numFmtId="166" fontId="4" fillId="8" borderId="22" xfId="1" applyNumberFormat="1" applyFont="1" applyFill="1" applyBorder="1" applyAlignment="1" applyProtection="1">
      <alignment vertical="center"/>
      <protection hidden="1"/>
    </xf>
    <xf numFmtId="0" fontId="4" fillId="5" borderId="12" xfId="1" applyFont="1" applyFill="1" applyBorder="1" applyAlignment="1" applyProtection="1">
      <alignment vertical="center"/>
      <protection hidden="1"/>
    </xf>
    <xf numFmtId="9" fontId="4" fillId="10" borderId="21" xfId="1" applyNumberFormat="1" applyFont="1" applyFill="1" applyBorder="1" applyAlignment="1" applyProtection="1">
      <alignment vertical="center"/>
      <protection locked="0"/>
    </xf>
    <xf numFmtId="166" fontId="4" fillId="8" borderId="21" xfId="1" applyNumberFormat="1" applyFont="1" applyFill="1" applyBorder="1" applyAlignment="1" applyProtection="1">
      <alignment vertical="center"/>
      <protection hidden="1"/>
    </xf>
    <xf numFmtId="0" fontId="4" fillId="5" borderId="20" xfId="1" applyFont="1" applyFill="1" applyBorder="1" applyAlignment="1" applyProtection="1">
      <alignment vertical="center"/>
      <protection hidden="1"/>
    </xf>
    <xf numFmtId="0" fontId="4" fillId="10" borderId="20" xfId="1" applyFont="1" applyFill="1" applyBorder="1" applyAlignment="1" applyProtection="1">
      <alignment vertical="center"/>
      <protection locked="0"/>
    </xf>
    <xf numFmtId="0" fontId="4" fillId="5" borderId="21" xfId="0" applyFont="1" applyFill="1" applyBorder="1" applyAlignment="1" applyProtection="1">
      <alignment vertical="center" wrapText="1"/>
      <protection hidden="1"/>
    </xf>
    <xf numFmtId="0" fontId="4" fillId="5" borderId="13" xfId="0" applyFont="1" applyFill="1" applyBorder="1" applyProtection="1">
      <protection hidden="1"/>
    </xf>
    <xf numFmtId="0" fontId="4" fillId="5" borderId="15" xfId="1" applyFont="1" applyFill="1" applyBorder="1" applyAlignment="1" applyProtection="1">
      <alignment vertical="center"/>
      <protection hidden="1"/>
    </xf>
    <xf numFmtId="165" fontId="4" fillId="8" borderId="20" xfId="1" applyNumberFormat="1" applyFont="1" applyFill="1" applyBorder="1" applyAlignment="1" applyProtection="1">
      <alignment vertical="center"/>
      <protection hidden="1"/>
    </xf>
    <xf numFmtId="0" fontId="4" fillId="10" borderId="21" xfId="1" applyFont="1" applyFill="1" applyBorder="1" applyAlignment="1" applyProtection="1">
      <alignment vertical="center"/>
      <protection locked="0"/>
    </xf>
    <xf numFmtId="0" fontId="4" fillId="5" borderId="15" xfId="0" applyFont="1" applyFill="1" applyBorder="1" applyAlignment="1" applyProtection="1">
      <alignment vertical="center"/>
      <protection hidden="1"/>
    </xf>
    <xf numFmtId="3" fontId="4" fillId="10" borderId="20" xfId="1" applyNumberFormat="1" applyFont="1" applyFill="1" applyBorder="1" applyAlignment="1" applyProtection="1">
      <alignment vertical="center"/>
      <protection locked="0"/>
    </xf>
    <xf numFmtId="3" fontId="4" fillId="10" borderId="21" xfId="1" applyNumberFormat="1" applyFont="1" applyFill="1" applyBorder="1" applyAlignment="1" applyProtection="1">
      <alignment vertical="center"/>
      <protection locked="0"/>
    </xf>
    <xf numFmtId="3" fontId="4" fillId="8" borderId="21" xfId="1" applyNumberFormat="1" applyFont="1" applyFill="1" applyBorder="1" applyAlignment="1" applyProtection="1">
      <alignment vertical="center"/>
      <protection hidden="1"/>
    </xf>
    <xf numFmtId="0" fontId="4" fillId="5" borderId="14" xfId="0" applyFont="1" applyFill="1" applyBorder="1" applyProtection="1">
      <protection hidden="1"/>
    </xf>
    <xf numFmtId="0" fontId="4" fillId="5" borderId="15" xfId="0" applyFont="1" applyFill="1" applyBorder="1" applyProtection="1">
      <protection hidden="1"/>
    </xf>
    <xf numFmtId="0" fontId="4" fillId="0" borderId="1" xfId="1" applyFont="1" applyBorder="1" applyAlignment="1">
      <alignment vertical="center"/>
    </xf>
    <xf numFmtId="0" fontId="4" fillId="0" borderId="2" xfId="1" applyFont="1" applyBorder="1" applyAlignment="1">
      <alignment vertical="center"/>
    </xf>
    <xf numFmtId="0" fontId="4" fillId="0" borderId="0" xfId="1" applyFont="1"/>
    <xf numFmtId="0" fontId="4" fillId="0" borderId="7" xfId="1" applyFont="1" applyBorder="1" applyAlignment="1">
      <alignment vertical="center"/>
    </xf>
    <xf numFmtId="0" fontId="4" fillId="0" borderId="6" xfId="1" applyFont="1" applyBorder="1" applyAlignment="1">
      <alignment vertical="center"/>
    </xf>
    <xf numFmtId="0" fontId="40" fillId="7" borderId="0" xfId="0" applyFont="1" applyFill="1" applyAlignment="1" applyProtection="1">
      <alignment horizontal="left" vertical="top" wrapText="1"/>
      <protection hidden="1"/>
    </xf>
    <xf numFmtId="0" fontId="23" fillId="0" borderId="0" xfId="0" applyFont="1" applyAlignment="1" applyProtection="1">
      <alignment vertical="top" wrapText="1"/>
      <protection hidden="1"/>
    </xf>
    <xf numFmtId="0" fontId="46" fillId="0" borderId="26" xfId="0" applyFont="1" applyBorder="1" applyAlignment="1" applyProtection="1">
      <alignment horizontal="left" vertical="top" wrapText="1"/>
      <protection hidden="1"/>
    </xf>
    <xf numFmtId="0" fontId="40" fillId="0" borderId="24" xfId="0" applyFont="1" applyBorder="1" applyAlignment="1" applyProtection="1">
      <alignment horizontal="left" vertical="top" wrapText="1"/>
      <protection hidden="1"/>
    </xf>
    <xf numFmtId="0" fontId="46" fillId="7" borderId="0" xfId="0" applyFont="1" applyFill="1" applyAlignment="1" applyProtection="1">
      <alignment horizontal="left" vertical="top" wrapText="1"/>
      <protection hidden="1"/>
    </xf>
    <xf numFmtId="3" fontId="40" fillId="8" borderId="20" xfId="1" applyNumberFormat="1" applyFont="1" applyFill="1" applyBorder="1" applyAlignment="1" applyProtection="1">
      <alignment vertical="center"/>
      <protection hidden="1"/>
    </xf>
    <xf numFmtId="3" fontId="56" fillId="8" borderId="20" xfId="1" applyNumberFormat="1" applyFont="1" applyFill="1" applyBorder="1" applyProtection="1">
      <protection hidden="1"/>
    </xf>
    <xf numFmtId="9" fontId="40" fillId="10" borderId="0" xfId="2" applyFont="1" applyFill="1" applyBorder="1" applyAlignment="1" applyProtection="1">
      <alignment vertical="center"/>
      <protection locked="0"/>
    </xf>
    <xf numFmtId="9" fontId="56" fillId="5" borderId="0" xfId="2" applyFont="1" applyFill="1" applyBorder="1" applyProtection="1">
      <protection hidden="1"/>
    </xf>
    <xf numFmtId="0" fontId="46" fillId="7" borderId="13" xfId="0" applyFont="1" applyFill="1" applyBorder="1" applyAlignment="1" applyProtection="1">
      <alignment horizontal="left" vertical="top" wrapText="1"/>
      <protection hidden="1"/>
    </xf>
    <xf numFmtId="0" fontId="46" fillId="7" borderId="27" xfId="0" applyFont="1" applyFill="1" applyBorder="1" applyAlignment="1" applyProtection="1">
      <alignment horizontal="left" vertical="top" wrapText="1"/>
      <protection hidden="1"/>
    </xf>
    <xf numFmtId="0" fontId="40" fillId="7" borderId="28" xfId="0" applyFont="1" applyFill="1" applyBorder="1" applyAlignment="1" applyProtection="1">
      <alignment horizontal="left" vertical="top" wrapText="1"/>
      <protection hidden="1"/>
    </xf>
    <xf numFmtId="0" fontId="106" fillId="0" borderId="20" xfId="4" applyFont="1" applyBorder="1" applyAlignment="1" applyProtection="1">
      <alignment vertical="center"/>
      <protection hidden="1"/>
    </xf>
    <xf numFmtId="0" fontId="106" fillId="0" borderId="21" xfId="4" applyFont="1" applyBorder="1" applyAlignment="1" applyProtection="1">
      <alignment vertical="center"/>
      <protection hidden="1"/>
    </xf>
    <xf numFmtId="0" fontId="89" fillId="0" borderId="0" xfId="1" applyFont="1" applyAlignment="1" applyProtection="1">
      <alignment horizontal="left" vertical="center" wrapText="1"/>
      <protection hidden="1"/>
    </xf>
    <xf numFmtId="0" fontId="3" fillId="0" borderId="20" xfId="1" applyFont="1" applyBorder="1" applyAlignment="1" applyProtection="1">
      <alignment horizontal="left" vertical="center"/>
      <protection hidden="1"/>
    </xf>
    <xf numFmtId="0" fontId="3" fillId="10" borderId="0" xfId="0" applyFont="1" applyFill="1" applyAlignment="1" applyProtection="1">
      <alignment vertical="center"/>
      <protection hidden="1"/>
    </xf>
    <xf numFmtId="167" fontId="3" fillId="10" borderId="0" xfId="3" applyNumberFormat="1" applyFont="1" applyFill="1" applyBorder="1" applyAlignment="1" applyProtection="1">
      <alignment horizontal="left" vertical="center"/>
      <protection hidden="1"/>
    </xf>
    <xf numFmtId="0" fontId="74" fillId="0" borderId="0" xfId="1" applyFont="1" applyAlignment="1" applyProtection="1">
      <alignment wrapText="1"/>
      <protection hidden="1"/>
    </xf>
    <xf numFmtId="0" fontId="0" fillId="0" borderId="0" xfId="0" applyAlignment="1" applyProtection="1">
      <alignment wrapText="1"/>
      <protection hidden="1"/>
    </xf>
    <xf numFmtId="0" fontId="61" fillId="4" borderId="0" xfId="1" applyFont="1" applyFill="1" applyAlignment="1" applyProtection="1">
      <alignment horizontal="left" vertical="center" wrapText="1"/>
      <protection hidden="1"/>
    </xf>
    <xf numFmtId="0" fontId="26" fillId="5" borderId="0" xfId="1" applyFont="1" applyFill="1" applyAlignment="1" applyProtection="1">
      <alignment horizontal="left" vertical="center" wrapText="1"/>
      <protection hidden="1"/>
    </xf>
    <xf numFmtId="0" fontId="73" fillId="0" borderId="0" xfId="0" applyFont="1" applyAlignment="1" applyProtection="1">
      <alignment wrapText="1"/>
      <protection hidden="1"/>
    </xf>
    <xf numFmtId="0" fontId="6" fillId="5" borderId="0" xfId="0" applyFont="1" applyFill="1" applyAlignment="1" applyProtection="1">
      <alignment wrapText="1"/>
      <protection hidden="1"/>
    </xf>
    <xf numFmtId="0" fontId="77" fillId="5" borderId="0" xfId="0" applyFont="1" applyFill="1" applyAlignment="1" applyProtection="1">
      <alignment wrapText="1"/>
      <protection hidden="1"/>
    </xf>
    <xf numFmtId="0" fontId="4" fillId="5" borderId="0" xfId="0" applyFont="1" applyFill="1" applyAlignment="1" applyProtection="1">
      <alignment wrapText="1"/>
      <protection hidden="1"/>
    </xf>
    <xf numFmtId="0" fontId="4" fillId="5" borderId="0" xfId="1" applyFont="1" applyFill="1" applyAlignment="1" applyProtection="1">
      <alignment wrapText="1"/>
      <protection hidden="1"/>
    </xf>
    <xf numFmtId="0" fontId="15" fillId="5" borderId="0" xfId="1" applyFont="1" applyFill="1" applyAlignment="1" applyProtection="1">
      <alignment wrapText="1"/>
      <protection hidden="1"/>
    </xf>
    <xf numFmtId="0" fontId="89" fillId="0" borderId="0" xfId="1" applyFont="1" applyAlignment="1" applyProtection="1">
      <alignment vertical="center"/>
      <protection hidden="1"/>
    </xf>
    <xf numFmtId="0" fontId="0" fillId="0" borderId="0" xfId="0" applyAlignment="1" applyProtection="1">
      <alignment horizontal="center"/>
      <protection hidden="1"/>
    </xf>
    <xf numFmtId="0" fontId="85" fillId="0" borderId="0" xfId="0" applyFont="1" applyAlignment="1" applyProtection="1">
      <alignment horizontal="left" wrapText="1"/>
      <protection hidden="1"/>
    </xf>
    <xf numFmtId="0" fontId="73" fillId="0" borderId="0" xfId="1" applyFont="1" applyAlignment="1" applyProtection="1">
      <alignment vertical="center"/>
      <protection hidden="1"/>
    </xf>
    <xf numFmtId="0" fontId="92" fillId="0" borderId="0" xfId="1" applyFont="1" applyAlignment="1" applyProtection="1">
      <alignment vertical="center"/>
      <protection hidden="1"/>
    </xf>
    <xf numFmtId="0" fontId="96" fillId="5" borderId="0" xfId="0" quotePrefix="1" applyFont="1" applyFill="1" applyAlignment="1" applyProtection="1">
      <alignment wrapText="1"/>
      <protection hidden="1"/>
    </xf>
    <xf numFmtId="0" fontId="97" fillId="12" borderId="0" xfId="0" applyFont="1" applyFill="1" applyAlignment="1" applyProtection="1">
      <alignment horizontal="left"/>
      <protection hidden="1"/>
    </xf>
    <xf numFmtId="0" fontId="3" fillId="0" borderId="21" xfId="1" applyFont="1" applyBorder="1" applyAlignment="1" applyProtection="1">
      <alignment horizontal="left" vertical="center"/>
      <protection hidden="1"/>
    </xf>
    <xf numFmtId="0" fontId="109" fillId="5" borderId="0" xfId="0" applyFont="1" applyFill="1" applyAlignment="1" applyProtection="1">
      <alignment horizontal="right"/>
      <protection hidden="1"/>
    </xf>
    <xf numFmtId="3" fontId="4" fillId="5" borderId="22" xfId="1" applyNumberFormat="1" applyFont="1" applyFill="1" applyBorder="1" applyAlignment="1" applyProtection="1">
      <alignment horizontal="right" vertical="center"/>
      <protection locked="0" hidden="1"/>
    </xf>
    <xf numFmtId="0" fontId="3" fillId="5" borderId="0" xfId="1" applyFont="1" applyFill="1" applyAlignment="1" applyProtection="1">
      <alignment vertical="center"/>
      <protection hidden="1"/>
    </xf>
    <xf numFmtId="0" fontId="110" fillId="0" borderId="0" xfId="1" applyFont="1" applyProtection="1">
      <protection hidden="1"/>
    </xf>
    <xf numFmtId="165" fontId="113" fillId="0" borderId="21" xfId="3" applyNumberFormat="1" applyFont="1" applyFill="1" applyBorder="1" applyAlignment="1" applyProtection="1">
      <alignment vertical="center"/>
      <protection hidden="1"/>
    </xf>
    <xf numFmtId="0" fontId="16" fillId="0" borderId="20" xfId="1" applyFont="1" applyBorder="1" applyAlignment="1" applyProtection="1">
      <alignment horizontal="left" vertical="center"/>
      <protection hidden="1"/>
    </xf>
    <xf numFmtId="0" fontId="16" fillId="0" borderId="21" xfId="1" applyFont="1" applyBorder="1" applyAlignment="1" applyProtection="1">
      <alignment horizontal="left" vertical="center"/>
      <protection hidden="1"/>
    </xf>
    <xf numFmtId="0" fontId="2" fillId="0" borderId="20" xfId="1" applyFont="1" applyBorder="1" applyAlignment="1" applyProtection="1">
      <alignment horizontal="left" vertical="center"/>
      <protection hidden="1"/>
    </xf>
    <xf numFmtId="0" fontId="43" fillId="0" borderId="22" xfId="1" applyFont="1" applyBorder="1" applyAlignment="1" applyProtection="1">
      <alignment vertical="center"/>
      <protection hidden="1"/>
    </xf>
    <xf numFmtId="0" fontId="116" fillId="12" borderId="29" xfId="0" applyFont="1" applyFill="1" applyBorder="1" applyAlignment="1" applyProtection="1">
      <alignment horizontal="right" vertical="top" wrapText="1"/>
      <protection hidden="1"/>
    </xf>
    <xf numFmtId="0" fontId="119" fillId="0" borderId="0" xfId="0" applyFont="1" applyAlignment="1" applyProtection="1">
      <alignment vertical="center" wrapText="1"/>
      <protection hidden="1"/>
    </xf>
    <xf numFmtId="0" fontId="18" fillId="5" borderId="14" xfId="0" applyFont="1" applyFill="1" applyBorder="1" applyAlignment="1" applyProtection="1">
      <alignment vertical="center"/>
      <protection hidden="1"/>
    </xf>
    <xf numFmtId="0" fontId="120" fillId="0" borderId="0" xfId="0" applyFont="1" applyAlignment="1" applyProtection="1">
      <alignment vertical="center"/>
      <protection hidden="1"/>
    </xf>
    <xf numFmtId="0" fontId="82" fillId="5" borderId="0" xfId="0" applyFont="1" applyFill="1" applyProtection="1">
      <protection hidden="1"/>
    </xf>
    <xf numFmtId="0" fontId="1" fillId="0" borderId="0" xfId="5"/>
    <xf numFmtId="0" fontId="121" fillId="4" borderId="0" xfId="5" applyFont="1" applyFill="1"/>
    <xf numFmtId="0" fontId="122" fillId="4" borderId="0" xfId="5" applyFont="1" applyFill="1"/>
    <xf numFmtId="0" fontId="124" fillId="4" borderId="0" xfId="5" applyFont="1" applyFill="1"/>
    <xf numFmtId="0" fontId="125" fillId="4" borderId="0" xfId="5" applyFont="1" applyFill="1"/>
    <xf numFmtId="0" fontId="23" fillId="4" borderId="0" xfId="0" applyFont="1" applyFill="1" applyProtection="1">
      <protection hidden="1"/>
    </xf>
    <xf numFmtId="0" fontId="1" fillId="4" borderId="0" xfId="5" applyFill="1"/>
    <xf numFmtId="0" fontId="83" fillId="4" borderId="0" xfId="0" applyFont="1" applyFill="1" applyProtection="1">
      <protection hidden="1"/>
    </xf>
    <xf numFmtId="0" fontId="33" fillId="4" borderId="0" xfId="0" applyFont="1" applyFill="1" applyProtection="1">
      <protection hidden="1"/>
    </xf>
    <xf numFmtId="0" fontId="30" fillId="4" borderId="0" xfId="0" applyFont="1" applyFill="1" applyAlignment="1" applyProtection="1">
      <alignment vertical="top"/>
      <protection hidden="1"/>
    </xf>
    <xf numFmtId="0" fontId="43" fillId="4" borderId="0" xfId="5" applyFont="1" applyFill="1"/>
    <xf numFmtId="0" fontId="126" fillId="4" borderId="0" xfId="5" applyFont="1" applyFill="1"/>
    <xf numFmtId="0" fontId="40" fillId="4" borderId="0" xfId="5" applyFont="1" applyFill="1"/>
    <xf numFmtId="49" fontId="127" fillId="4" borderId="0" xfId="5" applyNumberFormat="1" applyFont="1" applyFill="1"/>
    <xf numFmtId="0" fontId="128" fillId="4" borderId="0" xfId="5" applyFont="1" applyFill="1"/>
    <xf numFmtId="0" fontId="65" fillId="15" borderId="0" xfId="5" applyFont="1" applyFill="1"/>
    <xf numFmtId="0" fontId="99" fillId="14" borderId="30" xfId="0" applyFont="1" applyFill="1" applyBorder="1" applyAlignment="1" applyProtection="1">
      <alignment vertical="center"/>
      <protection hidden="1"/>
    </xf>
    <xf numFmtId="0" fontId="99" fillId="5" borderId="0" xfId="0" applyFont="1" applyFill="1" applyAlignment="1" applyProtection="1">
      <alignment vertical="center"/>
      <protection hidden="1"/>
    </xf>
    <xf numFmtId="0" fontId="99" fillId="9" borderId="30" xfId="0" applyFont="1" applyFill="1" applyBorder="1" applyAlignment="1" applyProtection="1">
      <alignment vertical="center" wrapText="1"/>
      <protection hidden="1"/>
    </xf>
    <xf numFmtId="0" fontId="131" fillId="14" borderId="30" xfId="4" applyFont="1" applyFill="1" applyBorder="1" applyAlignment="1" applyProtection="1">
      <alignment vertical="center"/>
      <protection hidden="1"/>
    </xf>
    <xf numFmtId="0" fontId="131" fillId="13" borderId="30" xfId="4" applyFont="1" applyFill="1" applyBorder="1" applyAlignment="1" applyProtection="1">
      <alignment vertical="center"/>
      <protection hidden="1"/>
    </xf>
    <xf numFmtId="0" fontId="131" fillId="9" borderId="30" xfId="4" applyFont="1" applyFill="1" applyBorder="1" applyAlignment="1" applyProtection="1">
      <alignment vertical="center"/>
      <protection hidden="1"/>
    </xf>
    <xf numFmtId="0" fontId="43" fillId="15" borderId="0" xfId="5" applyFont="1" applyFill="1" applyAlignment="1">
      <alignment horizontal="center" vertical="top"/>
    </xf>
    <xf numFmtId="0" fontId="129" fillId="4" borderId="0" xfId="5" applyFont="1" applyFill="1" applyAlignment="1">
      <alignment horizontal="left" vertical="center" wrapText="1"/>
    </xf>
    <xf numFmtId="0" fontId="123" fillId="4" borderId="0" xfId="5" applyFont="1" applyFill="1" applyAlignment="1">
      <alignment horizontal="left" vertical="center" wrapText="1"/>
    </xf>
    <xf numFmtId="0" fontId="40" fillId="7" borderId="11" xfId="0" quotePrefix="1" applyFont="1" applyFill="1" applyBorder="1" applyAlignment="1" applyProtection="1">
      <alignment horizontal="left" vertical="center"/>
      <protection hidden="1"/>
    </xf>
    <xf numFmtId="0" fontId="40" fillId="7" borderId="0" xfId="0" quotePrefix="1" applyFont="1" applyFill="1" applyAlignment="1" applyProtection="1">
      <alignment horizontal="left" vertical="center"/>
      <protection hidden="1"/>
    </xf>
    <xf numFmtId="0" fontId="40" fillId="7" borderId="12" xfId="0" quotePrefix="1" applyFont="1" applyFill="1" applyBorder="1" applyAlignment="1" applyProtection="1">
      <alignment horizontal="left" vertical="center"/>
      <protection hidden="1"/>
    </xf>
    <xf numFmtId="0" fontId="40" fillId="7" borderId="11" xfId="0" quotePrefix="1" applyFont="1" applyFill="1" applyBorder="1" applyAlignment="1" applyProtection="1">
      <alignment horizontal="left" vertical="center" wrapText="1"/>
      <protection hidden="1"/>
    </xf>
    <xf numFmtId="0" fontId="40" fillId="7" borderId="0" xfId="0" quotePrefix="1" applyFont="1" applyFill="1" applyAlignment="1" applyProtection="1">
      <alignment horizontal="left" vertical="center" wrapText="1"/>
      <protection hidden="1"/>
    </xf>
    <xf numFmtId="0" fontId="40" fillId="7" borderId="12" xfId="0" quotePrefix="1" applyFont="1" applyFill="1" applyBorder="1" applyAlignment="1" applyProtection="1">
      <alignment horizontal="left" vertical="center" wrapText="1"/>
      <protection hidden="1"/>
    </xf>
    <xf numFmtId="0" fontId="40" fillId="7" borderId="11" xfId="0" applyFont="1" applyFill="1" applyBorder="1" applyAlignment="1" applyProtection="1">
      <alignment horizontal="left" vertical="center"/>
      <protection hidden="1"/>
    </xf>
    <xf numFmtId="0" fontId="40" fillId="7" borderId="0" xfId="0" applyFont="1" applyFill="1" applyAlignment="1" applyProtection="1">
      <alignment horizontal="left" vertical="center"/>
      <protection hidden="1"/>
    </xf>
    <xf numFmtId="0" fontId="40" fillId="7" borderId="12" xfId="0" applyFont="1" applyFill="1" applyBorder="1" applyAlignment="1" applyProtection="1">
      <alignment horizontal="left" vertical="center"/>
      <protection hidden="1"/>
    </xf>
    <xf numFmtId="0" fontId="40" fillId="7" borderId="11" xfId="0" applyFont="1" applyFill="1" applyBorder="1" applyAlignment="1" applyProtection="1">
      <alignment horizontal="left" vertical="center" wrapText="1"/>
      <protection hidden="1"/>
    </xf>
    <xf numFmtId="0" fontId="40" fillId="7" borderId="0" xfId="0" applyFont="1" applyFill="1" applyAlignment="1" applyProtection="1">
      <alignment horizontal="left" vertical="center" wrapText="1"/>
      <protection hidden="1"/>
    </xf>
    <xf numFmtId="0" fontId="40" fillId="7" borderId="12" xfId="0" applyFont="1" applyFill="1" applyBorder="1" applyAlignment="1" applyProtection="1">
      <alignment horizontal="left" vertical="center" wrapText="1"/>
      <protection hidden="1"/>
    </xf>
    <xf numFmtId="0" fontId="40" fillId="7" borderId="11" xfId="0" applyFont="1" applyFill="1" applyBorder="1" applyAlignment="1" applyProtection="1">
      <alignment horizontal="left" vertical="top" wrapText="1"/>
      <protection hidden="1"/>
    </xf>
    <xf numFmtId="0" fontId="40" fillId="7" borderId="0" xfId="0" applyFont="1" applyFill="1" applyAlignment="1" applyProtection="1">
      <alignment horizontal="left" vertical="top" wrapText="1"/>
      <protection hidden="1"/>
    </xf>
    <xf numFmtId="0" fontId="40" fillId="7" borderId="12" xfId="0" applyFont="1" applyFill="1" applyBorder="1" applyAlignment="1" applyProtection="1">
      <alignment horizontal="left" vertical="top" wrapText="1"/>
      <protection hidden="1"/>
    </xf>
    <xf numFmtId="0" fontId="40" fillId="7" borderId="13" xfId="0" applyFont="1" applyFill="1" applyBorder="1" applyAlignment="1" applyProtection="1">
      <alignment horizontal="left" vertical="top" wrapText="1"/>
      <protection hidden="1"/>
    </xf>
    <xf numFmtId="0" fontId="40" fillId="7" borderId="14" xfId="0" applyFont="1" applyFill="1" applyBorder="1" applyAlignment="1" applyProtection="1">
      <alignment horizontal="left" vertical="top" wrapText="1"/>
      <protection hidden="1"/>
    </xf>
    <xf numFmtId="0" fontId="40" fillId="7" borderId="15" xfId="0" applyFont="1" applyFill="1" applyBorder="1" applyAlignment="1" applyProtection="1">
      <alignment horizontal="left" vertical="top" wrapText="1"/>
      <protection hidden="1"/>
    </xf>
    <xf numFmtId="0" fontId="38" fillId="4" borderId="0" xfId="1" applyFont="1" applyFill="1" applyAlignment="1" applyProtection="1">
      <alignment horizontal="left" vertical="center" wrapText="1"/>
      <protection hidden="1"/>
    </xf>
    <xf numFmtId="0" fontId="35" fillId="4" borderId="0" xfId="1" applyFont="1" applyFill="1" applyAlignment="1" applyProtection="1">
      <alignment horizontal="left" vertical="center"/>
      <protection hidden="1"/>
    </xf>
    <xf numFmtId="0" fontId="34" fillId="4" borderId="0" xfId="1" applyFont="1" applyFill="1" applyAlignment="1" applyProtection="1">
      <alignment horizontal="left" vertical="center"/>
      <protection hidden="1"/>
    </xf>
    <xf numFmtId="0" fontId="40" fillId="7" borderId="13" xfId="0" applyFont="1" applyFill="1" applyBorder="1" applyAlignment="1" applyProtection="1">
      <alignment horizontal="left" vertical="center"/>
      <protection hidden="1"/>
    </xf>
    <xf numFmtId="0" fontId="40" fillId="7" borderId="14" xfId="0" applyFont="1" applyFill="1" applyBorder="1" applyAlignment="1" applyProtection="1">
      <alignment horizontal="left" vertical="center"/>
      <protection hidden="1"/>
    </xf>
    <xf numFmtId="0" fontId="40" fillId="7" borderId="15" xfId="0" applyFont="1" applyFill="1" applyBorder="1" applyAlignment="1" applyProtection="1">
      <alignment horizontal="left" vertical="center"/>
      <protection hidden="1"/>
    </xf>
    <xf numFmtId="0" fontId="81" fillId="4" borderId="8" xfId="4" applyFont="1" applyFill="1" applyBorder="1" applyAlignment="1" applyProtection="1">
      <alignment horizontal="left" vertical="center"/>
      <protection hidden="1"/>
    </xf>
    <xf numFmtId="0" fontId="81" fillId="4" borderId="9" xfId="4" applyFont="1" applyFill="1" applyBorder="1" applyAlignment="1" applyProtection="1">
      <alignment horizontal="left" vertical="center"/>
      <protection hidden="1"/>
    </xf>
    <xf numFmtId="0" fontId="81" fillId="4" borderId="10" xfId="4" applyFont="1" applyFill="1" applyBorder="1" applyAlignment="1" applyProtection="1">
      <alignment horizontal="left" vertical="center"/>
      <protection hidden="1"/>
    </xf>
    <xf numFmtId="0" fontId="130" fillId="4" borderId="31" xfId="4" applyFont="1" applyFill="1" applyBorder="1" applyAlignment="1" applyProtection="1">
      <alignment vertical="center"/>
      <protection hidden="1"/>
    </xf>
    <xf numFmtId="0" fontId="130" fillId="4" borderId="32" xfId="4" applyFont="1" applyFill="1" applyBorder="1" applyAlignment="1" applyProtection="1">
      <alignment vertical="center"/>
      <protection hidden="1"/>
    </xf>
    <xf numFmtId="0" fontId="100" fillId="4" borderId="31" xfId="0" applyFont="1" applyFill="1" applyBorder="1" applyAlignment="1" applyProtection="1">
      <alignment vertical="center" wrapText="1"/>
      <protection hidden="1"/>
    </xf>
    <xf numFmtId="0" fontId="100" fillId="4" borderId="32" xfId="0" applyFont="1" applyFill="1" applyBorder="1" applyAlignment="1" applyProtection="1">
      <alignment vertical="center" wrapText="1"/>
      <protection hidden="1"/>
    </xf>
    <xf numFmtId="0" fontId="131" fillId="14" borderId="31" xfId="4" applyFont="1" applyFill="1" applyBorder="1" applyAlignment="1" applyProtection="1">
      <alignment vertical="center"/>
      <protection hidden="1"/>
    </xf>
    <xf numFmtId="0" fontId="131" fillId="14" borderId="32" xfId="4" applyFont="1" applyFill="1" applyBorder="1" applyAlignment="1" applyProtection="1">
      <alignment vertical="center"/>
      <protection hidden="1"/>
    </xf>
    <xf numFmtId="0" fontId="99" fillId="14" borderId="31" xfId="0" applyFont="1" applyFill="1" applyBorder="1" applyAlignment="1" applyProtection="1">
      <alignment vertical="center"/>
      <protection hidden="1"/>
    </xf>
    <xf numFmtId="0" fontId="99" fillId="14" borderId="32" xfId="0" applyFont="1" applyFill="1" applyBorder="1" applyAlignment="1" applyProtection="1">
      <alignment vertical="center"/>
      <protection hidden="1"/>
    </xf>
    <xf numFmtId="0" fontId="99" fillId="14" borderId="0" xfId="0" applyFont="1" applyFill="1" applyAlignment="1" applyProtection="1">
      <alignment vertical="center"/>
      <protection hidden="1"/>
    </xf>
    <xf numFmtId="0" fontId="131" fillId="14" borderId="0" xfId="4" applyFont="1" applyFill="1" applyAlignment="1" applyProtection="1">
      <alignment vertical="center"/>
      <protection hidden="1"/>
    </xf>
    <xf numFmtId="0" fontId="40" fillId="7" borderId="13" xfId="0" quotePrefix="1" applyFont="1" applyFill="1" applyBorder="1" applyAlignment="1" applyProtection="1">
      <alignment horizontal="left" vertical="center"/>
      <protection hidden="1"/>
    </xf>
    <xf numFmtId="0" fontId="40" fillId="7" borderId="14" xfId="0" quotePrefix="1" applyFont="1" applyFill="1" applyBorder="1" applyAlignment="1" applyProtection="1">
      <alignment horizontal="left" vertical="center"/>
      <protection hidden="1"/>
    </xf>
    <xf numFmtId="0" fontId="40" fillId="7" borderId="15" xfId="0" quotePrefix="1" applyFont="1" applyFill="1" applyBorder="1" applyAlignment="1" applyProtection="1">
      <alignment horizontal="left" vertical="center"/>
      <protection hidden="1"/>
    </xf>
    <xf numFmtId="0" fontId="43" fillId="7" borderId="11" xfId="0" applyFont="1" applyFill="1" applyBorder="1" applyAlignment="1" applyProtection="1">
      <alignment horizontal="left" vertical="center" wrapText="1"/>
      <protection hidden="1"/>
    </xf>
    <xf numFmtId="0" fontId="43" fillId="7" borderId="0" xfId="0" applyFont="1" applyFill="1" applyAlignment="1" applyProtection="1">
      <alignment horizontal="left" vertical="center" wrapText="1"/>
      <protection hidden="1"/>
    </xf>
    <xf numFmtId="0" fontId="43" fillId="7" borderId="12" xfId="0" applyFont="1" applyFill="1" applyBorder="1" applyAlignment="1" applyProtection="1">
      <alignment horizontal="left" vertical="center" wrapText="1"/>
      <protection hidden="1"/>
    </xf>
    <xf numFmtId="0" fontId="40" fillId="7" borderId="13" xfId="0" quotePrefix="1" applyFont="1" applyFill="1" applyBorder="1" applyAlignment="1" applyProtection="1">
      <alignment horizontal="left" vertical="center" wrapText="1"/>
      <protection hidden="1"/>
    </xf>
    <xf numFmtId="0" fontId="40" fillId="7" borderId="14" xfId="0" applyFont="1" applyFill="1" applyBorder="1" applyAlignment="1" applyProtection="1">
      <alignment horizontal="left" vertical="center" wrapText="1"/>
      <protection hidden="1"/>
    </xf>
    <xf numFmtId="0" fontId="40" fillId="7" borderId="15" xfId="0" applyFont="1" applyFill="1" applyBorder="1" applyAlignment="1" applyProtection="1">
      <alignment horizontal="left" vertical="center" wrapText="1"/>
      <protection hidden="1"/>
    </xf>
    <xf numFmtId="0" fontId="99" fillId="13" borderId="30" xfId="0" applyFont="1" applyFill="1" applyBorder="1" applyAlignment="1" applyProtection="1">
      <alignment vertical="center" wrapText="1"/>
      <protection hidden="1"/>
    </xf>
    <xf numFmtId="0" fontId="37" fillId="4" borderId="0" xfId="1" applyFont="1" applyFill="1" applyAlignment="1" applyProtection="1">
      <alignment horizontal="left" vertical="center"/>
      <protection hidden="1"/>
    </xf>
    <xf numFmtId="0" fontId="40" fillId="0" borderId="21" xfId="1" applyFont="1" applyBorder="1" applyAlignment="1" applyProtection="1">
      <alignment horizontal="left" vertical="center"/>
      <protection hidden="1"/>
    </xf>
    <xf numFmtId="0" fontId="76" fillId="0" borderId="0" xfId="1" applyFont="1" applyAlignment="1" applyProtection="1">
      <alignment horizontal="left" vertical="center"/>
      <protection hidden="1"/>
    </xf>
    <xf numFmtId="0" fontId="89" fillId="0" borderId="0" xfId="1" applyFont="1" applyAlignment="1" applyProtection="1">
      <alignment horizontal="left" vertical="center" wrapText="1"/>
      <protection hidden="1"/>
    </xf>
    <xf numFmtId="0" fontId="43" fillId="5" borderId="0" xfId="1" applyFont="1" applyFill="1" applyAlignment="1" applyProtection="1">
      <alignment horizontal="left" vertical="center"/>
      <protection hidden="1"/>
    </xf>
    <xf numFmtId="0" fontId="38" fillId="4" borderId="0" xfId="1" applyFont="1" applyFill="1" applyAlignment="1" applyProtection="1">
      <alignment horizontal="left" vertical="center"/>
      <protection hidden="1"/>
    </xf>
    <xf numFmtId="0" fontId="76" fillId="0" borderId="0" xfId="0" applyFont="1" applyAlignment="1" applyProtection="1">
      <alignment horizontal="left" wrapText="1"/>
      <protection hidden="1"/>
    </xf>
    <xf numFmtId="0" fontId="76" fillId="0" borderId="12" xfId="0" applyFont="1" applyBorder="1" applyAlignment="1" applyProtection="1">
      <alignment horizontal="left" wrapText="1"/>
      <protection hidden="1"/>
    </xf>
    <xf numFmtId="0" fontId="43" fillId="0" borderId="21" xfId="1" applyFont="1" applyBorder="1" applyAlignment="1" applyProtection="1">
      <alignment horizontal="left" vertical="center" wrapText="1"/>
      <protection hidden="1"/>
    </xf>
    <xf numFmtId="0" fontId="89" fillId="0" borderId="0" xfId="1" applyFont="1" applyAlignment="1" applyProtection="1">
      <alignment horizontal="left" wrapText="1"/>
      <protection hidden="1"/>
    </xf>
    <xf numFmtId="0" fontId="85" fillId="0" borderId="0" xfId="0" applyFont="1" applyAlignment="1" applyProtection="1">
      <alignment horizontal="left" vertical="center" wrapText="1"/>
      <protection hidden="1"/>
    </xf>
    <xf numFmtId="0" fontId="85" fillId="0" borderId="11" xfId="0" applyFont="1" applyBorder="1" applyAlignment="1" applyProtection="1">
      <alignment horizontal="left" vertical="center" wrapText="1"/>
      <protection hidden="1"/>
    </xf>
    <xf numFmtId="0" fontId="85" fillId="0" borderId="0" xfId="0" applyFont="1" applyAlignment="1" applyProtection="1">
      <alignment horizontal="left" vertical="center"/>
      <protection hidden="1"/>
    </xf>
    <xf numFmtId="0" fontId="80" fillId="4" borderId="0" xfId="1" applyFont="1" applyFill="1" applyAlignment="1" applyProtection="1">
      <alignment horizontal="left" vertical="center"/>
      <protection hidden="1"/>
    </xf>
    <xf numFmtId="0" fontId="61" fillId="4" borderId="0" xfId="1" applyFont="1" applyFill="1" applyAlignment="1" applyProtection="1">
      <alignment horizontal="left" vertical="center"/>
      <protection hidden="1"/>
    </xf>
    <xf numFmtId="0" fontId="85" fillId="0" borderId="11" xfId="0" applyFont="1" applyBorder="1" applyAlignment="1" applyProtection="1">
      <alignment horizontal="left" vertical="center"/>
      <protection hidden="1"/>
    </xf>
    <xf numFmtId="0" fontId="87" fillId="0" borderId="0" xfId="0" applyFont="1" applyAlignment="1" applyProtection="1">
      <alignment horizontal="left" vertical="center" wrapText="1"/>
      <protection hidden="1"/>
    </xf>
    <xf numFmtId="0" fontId="87" fillId="0" borderId="0" xfId="0" applyFont="1" applyAlignment="1" applyProtection="1">
      <alignment horizontal="left" vertical="center"/>
      <protection hidden="1"/>
    </xf>
    <xf numFmtId="0" fontId="85" fillId="5" borderId="0" xfId="0" applyFont="1" applyFill="1" applyAlignment="1" applyProtection="1">
      <alignment horizontal="left" wrapText="1"/>
      <protection hidden="1"/>
    </xf>
    <xf numFmtId="0" fontId="85" fillId="5" borderId="0" xfId="0" quotePrefix="1" applyFont="1" applyFill="1" applyAlignment="1" applyProtection="1">
      <alignment horizontal="left" wrapText="1"/>
      <protection hidden="1"/>
    </xf>
    <xf numFmtId="0" fontId="15" fillId="4" borderId="9" xfId="1" applyFont="1" applyFill="1" applyBorder="1" applyAlignment="1" applyProtection="1">
      <alignment horizontal="left" vertical="center" wrapText="1"/>
      <protection hidden="1"/>
    </xf>
    <xf numFmtId="0" fontId="85" fillId="0" borderId="12" xfId="0" applyFont="1" applyBorder="1" applyAlignment="1" applyProtection="1">
      <alignment horizontal="left" vertical="center" wrapText="1"/>
      <protection hidden="1"/>
    </xf>
    <xf numFmtId="0" fontId="85" fillId="0" borderId="12" xfId="0" applyFont="1" applyBorder="1" applyAlignment="1" applyProtection="1">
      <alignment horizontal="left" vertical="center"/>
      <protection hidden="1"/>
    </xf>
    <xf numFmtId="0" fontId="26" fillId="4" borderId="0" xfId="1" applyFont="1" applyFill="1" applyAlignment="1" applyProtection="1">
      <alignment vertical="center"/>
      <protection hidden="1"/>
    </xf>
    <xf numFmtId="0" fontId="69" fillId="4" borderId="9" xfId="1" applyFont="1" applyFill="1" applyBorder="1" applyAlignment="1" applyProtection="1">
      <alignment horizontal="left" vertical="center"/>
      <protection hidden="1"/>
    </xf>
    <xf numFmtId="0" fontId="37" fillId="4" borderId="0" xfId="1" applyFont="1" applyFill="1" applyAlignment="1" applyProtection="1">
      <alignment horizontal="left" vertical="center" wrapText="1"/>
      <protection hidden="1"/>
    </xf>
    <xf numFmtId="0" fontId="85" fillId="5" borderId="0" xfId="0" quotePrefix="1" applyFont="1" applyFill="1" applyAlignment="1" applyProtection="1">
      <alignment horizontal="left"/>
      <protection hidden="1"/>
    </xf>
    <xf numFmtId="0" fontId="85" fillId="5" borderId="11" xfId="0" quotePrefix="1" applyFont="1" applyFill="1" applyBorder="1" applyAlignment="1" applyProtection="1">
      <alignment horizontal="left"/>
      <protection hidden="1"/>
    </xf>
    <xf numFmtId="0" fontId="97" fillId="12" borderId="11" xfId="0" applyFont="1" applyFill="1" applyBorder="1" applyAlignment="1" applyProtection="1">
      <alignment horizontal="left"/>
      <protection hidden="1"/>
    </xf>
    <xf numFmtId="0" fontId="97" fillId="12" borderId="0" xfId="0" applyFont="1" applyFill="1" applyAlignment="1" applyProtection="1">
      <alignment horizontal="left"/>
      <protection hidden="1"/>
    </xf>
  </cellXfs>
  <cellStyles count="6">
    <cellStyle name="Comma" xfId="3" builtinId="3"/>
    <cellStyle name="Hyperlink" xfId="4" builtinId="8"/>
    <cellStyle name="Normal" xfId="0" builtinId="0"/>
    <cellStyle name="Normal 2" xfId="1" xr:uid="{AE5E5E86-861C-264E-8D02-7F0A5542E12D}"/>
    <cellStyle name="Normal 3" xfId="5" xr:uid="{8B61BF6D-2376-4C8A-A8CF-961CB78C2D09}"/>
    <cellStyle name="Per cent" xfId="2" builtinId="5"/>
  </cellStyles>
  <dxfs count="98">
    <dxf>
      <fill>
        <patternFill patternType="none">
          <fgColor indexed="64"/>
          <bgColor auto="1"/>
        </patternFill>
      </fill>
      <alignment horizontal="general" vertical="center" textRotation="0" wrapText="0" indent="0" justifyLastLine="0" shrinkToFit="0" readingOrder="0"/>
      <border diagonalUp="0" diagonalDown="0" outline="0">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border diagonalUp="0" diagonalDown="0" outline="0">
        <left/>
        <right style="thin">
          <color rgb="FFD9D9D9"/>
        </right>
        <top style="thin">
          <color rgb="FFD9D9D9"/>
        </top>
        <bottom style="thin">
          <color rgb="FFD9D9D9"/>
        </bottom>
      </border>
    </dxf>
    <dxf>
      <border outline="0">
        <top style="thin">
          <color rgb="FFD9D9D9"/>
        </top>
      </border>
    </dxf>
    <dxf>
      <border outline="0">
        <left style="thin">
          <color rgb="FFD9D9D9"/>
        </left>
        <right style="thin">
          <color rgb="FFD9D9D9"/>
        </right>
        <top style="thin">
          <color rgb="FFD9D9D9"/>
        </top>
        <bottom style="thin">
          <color rgb="FFD9D9D9"/>
        </bottom>
      </border>
    </dxf>
    <dxf>
      <fill>
        <patternFill patternType="none">
          <fgColor indexed="64"/>
          <bgColor auto="1"/>
        </patternFill>
      </fill>
      <alignment horizontal="general" vertical="center" textRotation="0" wrapText="0" indent="0" justifyLastLine="0" shrinkToFit="0" readingOrder="0"/>
    </dxf>
    <dxf>
      <border outline="0">
        <bottom style="thin">
          <color rgb="FFD9D9D9"/>
        </bottom>
      </border>
    </dxf>
    <dxf>
      <font>
        <b/>
        <i val="0"/>
        <strike val="0"/>
        <condense val="0"/>
        <extend val="0"/>
        <outline val="0"/>
        <shadow val="0"/>
        <u val="none"/>
        <vertAlign val="baseline"/>
        <sz val="11"/>
        <color rgb="FFFFFFFF"/>
        <name val="Calibri"/>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rgb="FFD9D9D9"/>
        </left>
        <right style="thin">
          <color rgb="FFD9D9D9"/>
        </right>
        <top/>
        <bottom/>
      </border>
    </dxf>
    <dxf>
      <numFmt numFmtId="4" formatCode="#,##0.00"/>
    </dxf>
    <dxf>
      <numFmt numFmtId="4" formatCode="#,##0.00"/>
    </dxf>
    <dxf>
      <numFmt numFmtId="4" formatCode="#,##0.00"/>
    </dxf>
    <dxf>
      <numFmt numFmtId="4" formatCode="#,##0.00"/>
    </dxf>
    <dxf>
      <fill>
        <patternFill>
          <bgColor theme="3" tint="0.79998168889431442"/>
        </patternFill>
      </fill>
      <border>
        <left style="thin">
          <color theme="3"/>
        </left>
        <right style="thin">
          <color theme="3"/>
        </right>
        <top style="thin">
          <color theme="3"/>
        </top>
        <bottom style="thin">
          <color theme="3"/>
        </bottom>
      </border>
    </dxf>
    <dxf>
      <numFmt numFmtId="0" formatCode="General"/>
      <fill>
        <patternFill>
          <bgColor theme="2" tint="-9.9948118533890809E-2"/>
        </patternFill>
      </fill>
    </dxf>
    <dxf>
      <numFmt numFmtId="0" formatCode="General"/>
      <fill>
        <patternFill>
          <bgColor theme="2" tint="-9.9948118533890809E-2"/>
        </patternFill>
      </fill>
    </dxf>
    <dxf>
      <numFmt numFmtId="0" formatCode="General"/>
      <fill>
        <patternFill>
          <bgColor theme="2" tint="-9.9948118533890809E-2"/>
        </patternFill>
      </fill>
    </dxf>
    <dxf>
      <numFmt numFmtId="0" formatCode="General"/>
      <fill>
        <patternFill>
          <bgColor theme="2" tint="-9.9948118533890809E-2"/>
        </patternFill>
      </fill>
    </dxf>
    <dxf>
      <numFmt numFmtId="4" formatCode="#,##0.00"/>
    </dxf>
    <dxf>
      <numFmt numFmtId="4" formatCode="#,##0.00"/>
    </dxf>
    <dxf>
      <numFmt numFmtId="0" formatCode="General"/>
      <fill>
        <patternFill>
          <bgColor theme="2" tint="-9.9948118533890809E-2"/>
        </patternFill>
      </fill>
    </dxf>
    <dxf>
      <numFmt numFmtId="0" formatCode="General"/>
      <fill>
        <patternFill>
          <bgColor theme="2" tint="-9.9948118533890809E-2"/>
        </patternFill>
      </fill>
    </dxf>
    <dxf>
      <numFmt numFmtId="4" formatCode="#,##0.00"/>
    </dxf>
    <dxf>
      <fill>
        <patternFill>
          <bgColor theme="2" tint="-9.9948118533890809E-2"/>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2" tint="-9.9948118533890809E-2"/>
        </patternFill>
      </fill>
    </dxf>
    <dxf>
      <fill>
        <patternFill>
          <bgColor theme="9"/>
        </patternFill>
      </fill>
    </dxf>
    <dxf>
      <font>
        <color theme="1"/>
      </font>
      <fill>
        <patternFill>
          <bgColor theme="2" tint="-9.9948118533890809E-2"/>
        </patternFill>
      </fill>
    </dxf>
    <dxf>
      <fill>
        <patternFill>
          <bgColor theme="9"/>
        </patternFill>
      </fill>
    </dxf>
    <dxf>
      <fill>
        <patternFill>
          <bgColor theme="2" tint="-9.9948118533890809E-2"/>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0" tint="-0.24994659260841701"/>
        </patternFill>
      </fill>
    </dxf>
    <dxf>
      <fill>
        <patternFill>
          <bgColor theme="0" tint="-0.24994659260841701"/>
        </patternFill>
      </fill>
    </dxf>
    <dxf>
      <fill>
        <patternFill>
          <bgColor theme="2" tint="-9.9948118533890809E-2"/>
        </patternFill>
      </fill>
    </dxf>
    <dxf>
      <fill>
        <patternFill>
          <bgColor theme="9"/>
        </patternFill>
      </fill>
    </dxf>
    <dxf>
      <fill>
        <patternFill>
          <bgColor rgb="FFFFC000"/>
        </patternFill>
      </fill>
    </dxf>
    <dxf>
      <fill>
        <patternFill>
          <bgColor theme="2" tint="-9.9948118533890809E-2"/>
        </patternFill>
      </fill>
    </dxf>
    <dxf>
      <fill>
        <patternFill>
          <bgColor theme="2" tint="-9.9948118533890809E-2"/>
        </patternFill>
      </fill>
    </dxf>
    <dxf>
      <fill>
        <patternFill>
          <bgColor theme="2" tint="-9.9948118533890809E-2"/>
        </patternFill>
      </fill>
    </dxf>
    <dxf>
      <numFmt numFmtId="0" formatCode="General"/>
      <fill>
        <patternFill>
          <bgColor theme="2" tint="-9.9948118533890809E-2"/>
        </patternFill>
      </fill>
    </dxf>
    <dxf>
      <fill>
        <patternFill>
          <bgColor theme="0" tint="-0.24994659260841701"/>
        </patternFill>
      </fill>
    </dxf>
    <dxf>
      <numFmt numFmtId="173" formatCode="[$$-409]#,##0.00"/>
    </dxf>
    <dxf>
      <numFmt numFmtId="0" formatCode="General"/>
      <fill>
        <patternFill>
          <bgColor theme="2" tint="-9.9948118533890809E-2"/>
        </patternFill>
      </fill>
    </dxf>
    <dxf>
      <fill>
        <patternFill>
          <bgColor rgb="FFBBBBBB"/>
        </patternFill>
      </fill>
    </dxf>
    <dxf>
      <numFmt numFmtId="0" formatCode="Genera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rgb="FFBBBBBB"/>
        </patternFill>
      </fill>
    </dxf>
    <dxf>
      <fill>
        <patternFill>
          <bgColor theme="2" tint="-9.9948118533890809E-2"/>
        </patternFill>
      </fill>
    </dxf>
    <dxf>
      <fill>
        <patternFill>
          <bgColor theme="9"/>
        </patternFill>
      </fill>
    </dxf>
    <dxf>
      <font>
        <color theme="0"/>
      </font>
      <fill>
        <patternFill>
          <bgColor theme="0"/>
        </patternFill>
      </fill>
    </dxf>
    <dxf>
      <fill>
        <patternFill>
          <bgColor theme="9"/>
        </patternFill>
      </fill>
    </dxf>
    <dxf>
      <font>
        <color theme="1"/>
      </font>
      <fill>
        <patternFill>
          <bgColor theme="9"/>
        </patternFill>
      </fill>
    </dxf>
    <dxf>
      <font>
        <color auto="1"/>
      </font>
      <fill>
        <patternFill>
          <bgColor theme="9"/>
        </patternFill>
      </fill>
    </dxf>
    <dxf>
      <fill>
        <patternFill>
          <bgColor theme="9"/>
        </patternFill>
      </fill>
    </dxf>
    <dxf>
      <numFmt numFmtId="0" formatCode="General"/>
    </dxf>
    <dxf>
      <fill>
        <patternFill>
          <bgColor theme="2" tint="-9.9948118533890809E-2"/>
        </patternFill>
      </fill>
    </dxf>
    <dxf>
      <fill>
        <patternFill>
          <bgColor theme="9"/>
        </patternFill>
      </fill>
    </dxf>
    <dxf>
      <fill>
        <patternFill>
          <bgColor theme="9"/>
        </patternFill>
      </fill>
    </dxf>
    <dxf>
      <font>
        <color auto="1"/>
      </font>
      <fill>
        <patternFill>
          <bgColor theme="9"/>
        </patternFill>
      </fill>
    </dxf>
    <dxf>
      <font>
        <color theme="0"/>
      </font>
      <fill>
        <patternFill>
          <bgColor theme="0"/>
        </patternFill>
      </fill>
      <border>
        <left/>
        <right/>
        <top/>
        <bottom/>
      </border>
    </dxf>
    <dxf>
      <font>
        <color rgb="FFDFDFDF"/>
      </font>
      <fill>
        <patternFill>
          <bgColor rgb="FFDFDFDF"/>
        </patternFill>
      </fill>
    </dxf>
    <dxf>
      <font>
        <color rgb="FFDFDFDF"/>
      </font>
      <fill>
        <patternFill>
          <bgColor rgb="FFDFDFDF"/>
        </patternFill>
      </fill>
    </dxf>
    <dxf>
      <font>
        <color rgb="FFDFDFDF"/>
      </font>
      <fill>
        <patternFill>
          <bgColor rgb="FFDFDFDF"/>
        </patternFill>
      </fill>
    </dxf>
    <dxf>
      <font>
        <color rgb="FFDFDFDF"/>
      </font>
      <fill>
        <patternFill>
          <bgColor rgb="FFDFDFDF"/>
        </patternFill>
      </fill>
    </dxf>
    <dxf>
      <fill>
        <patternFill>
          <bgColor theme="2" tint="-9.9948118533890809E-2"/>
        </patternFill>
      </fill>
    </dxf>
    <dxf>
      <border>
        <right style="thin">
          <color auto="1"/>
        </right>
        <vertical/>
        <horizontal/>
      </border>
    </dxf>
    <dxf>
      <font>
        <color theme="0"/>
      </font>
      <fill>
        <patternFill>
          <bgColor theme="0"/>
        </patternFill>
      </fill>
      <border>
        <left style="thin">
          <color auto="1"/>
        </left>
      </border>
    </dxf>
    <dxf>
      <font>
        <color rgb="FF006100"/>
      </font>
      <fill>
        <patternFill>
          <bgColor rgb="FFC6EFCE"/>
        </patternFill>
      </fill>
    </dxf>
    <dxf>
      <font>
        <color rgb="FF9C0006"/>
      </font>
      <fill>
        <patternFill>
          <bgColor rgb="FFFFC7CE"/>
        </patternFill>
      </fill>
    </dxf>
    <dxf>
      <numFmt numFmtId="0" formatCode="General"/>
    </dxf>
    <dxf>
      <numFmt numFmtId="173" formatCode="[$$-409]#,##0.00"/>
    </dxf>
    <dxf>
      <font>
        <color theme="0"/>
      </font>
      <fill>
        <patternFill>
          <bgColor theme="0"/>
        </patternFill>
      </fill>
      <border>
        <left/>
        <right/>
        <top/>
        <bottom/>
      </border>
    </dxf>
    <dxf>
      <numFmt numFmtId="0" formatCode="General"/>
    </dxf>
    <dxf>
      <numFmt numFmtId="173" formatCode="[$$-409]#,##0.00"/>
    </dxf>
  </dxfs>
  <tableStyles count="0" defaultTableStyle="TableStyleMedium2" defaultPivotStyle="PivotStyleLight16"/>
  <colors>
    <mruColors>
      <color rgb="FFEA7B5B"/>
      <color rgb="FF65CAD1"/>
      <color rgb="FF5CCBD0"/>
      <color rgb="FFDFDFDF"/>
      <color rgb="FFF75C03"/>
      <color rgb="FFFF6F59"/>
      <color rgb="FFE66844"/>
      <color rgb="FFD6D6D6"/>
      <color rgb="FFEDEEF7"/>
      <color rgb="FFF460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chemeClr val="tx2"/>
                </a:solidFill>
                <a:latin typeface="Arial" panose="020B0604020202020204" pitchFamily="34" charset="0"/>
                <a:ea typeface="+mn-ea"/>
                <a:cs typeface="Arial" panose="020B0604020202020204" pitchFamily="34" charset="0"/>
              </a:defRPr>
            </a:pPr>
            <a:r>
              <a:rPr lang="es-419" sz="1600" b="1">
                <a:solidFill>
                  <a:schemeClr val="tx2"/>
                </a:solidFill>
              </a:rPr>
              <a:t>Gross revenue for the project</a:t>
            </a:r>
          </a:p>
        </c:rich>
      </c:tx>
      <c:layout>
        <c:manualLayout>
          <c:xMode val="edge"/>
          <c:yMode val="edge"/>
          <c:x val="1.989192347013309E-3"/>
          <c:y val="0"/>
        </c:manualLayout>
      </c:layout>
      <c:overlay val="0"/>
      <c:spPr>
        <a:noFill/>
        <a:ln>
          <a:noFill/>
        </a:ln>
        <a:effectLst/>
      </c:spPr>
      <c:txPr>
        <a:bodyPr rot="0" spcFirstLastPara="1" vertOverflow="ellipsis" vert="horz" wrap="square" anchor="ctr" anchorCtr="1"/>
        <a:lstStyle/>
        <a:p>
          <a:pPr>
            <a:defRPr sz="1600" b="1" i="0" u="none" strike="noStrike" kern="1200" spc="0" baseline="0">
              <a:solidFill>
                <a:schemeClr val="tx2"/>
              </a:solidFill>
              <a:latin typeface="Arial" panose="020B0604020202020204" pitchFamily="34" charset="0"/>
              <a:ea typeface="+mn-ea"/>
              <a:cs typeface="Arial" panose="020B0604020202020204" pitchFamily="34" charset="0"/>
            </a:defRPr>
          </a:pPr>
          <a:endParaRPr lang="en-NL"/>
        </a:p>
      </c:txPr>
    </c:title>
    <c:autoTitleDeleted val="0"/>
    <c:plotArea>
      <c:layout>
        <c:manualLayout>
          <c:layoutTarget val="inner"/>
          <c:xMode val="edge"/>
          <c:yMode val="edge"/>
          <c:x val="0.11768356364108205"/>
          <c:y val="0.27150360259419498"/>
          <c:w val="0.87210727082505335"/>
          <c:h val="0.61497043501018211"/>
        </c:manualLayout>
      </c:layout>
      <c:barChart>
        <c:barDir val="col"/>
        <c:grouping val="clustered"/>
        <c:varyColors val="0"/>
        <c:ser>
          <c:idx val="0"/>
          <c:order val="0"/>
          <c:tx>
            <c:strRef>
              <c:f>'3.Gov Dashboard'!$D$20</c:f>
              <c:strCache>
                <c:ptCount val="1"/>
                <c:pt idx="0">
                  <c:v>Total project</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Arial" panose="020B0604020202020204" pitchFamily="34" charset="0"/>
                    <a:ea typeface="+mn-ea"/>
                    <a:cs typeface="Arial" panose="020B0604020202020204" pitchFamily="34" charset="0"/>
                  </a:defRPr>
                </a:pPr>
                <a:endParaRPr lang="en-NL"/>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'3.Gov Dashboard'!$C$21:$C$23</c:f>
              <c:strCache>
                <c:ptCount val="3"/>
                <c:pt idx="0">
                  <c:v>Gross revenue from non-authorized credits</c:v>
                </c:pt>
                <c:pt idx="1">
                  <c:v>Gross revenue from authorized credits (ITMO)</c:v>
                </c:pt>
                <c:pt idx="2">
                  <c:v>Total gross revenue for the project</c:v>
                </c:pt>
              </c:strCache>
            </c:strRef>
          </c:cat>
          <c:val>
            <c:numRef>
              <c:f>'3.Gov Dashboard'!$D$21:$D$23</c:f>
              <c:numCache>
                <c:formatCode>_-[$$-409]* #,##0_ ;_-[$$-409]* \-#,##0\ ;_-[$$-409]* "-"??_ ;_-@_ </c:formatCode>
                <c:ptCount val="3"/>
                <c:pt idx="0">
                  <c:v>1470000</c:v>
                </c:pt>
                <c:pt idx="1">
                  <c:v>6860000</c:v>
                </c:pt>
                <c:pt idx="2">
                  <c:v>8330000</c:v>
                </c:pt>
              </c:numCache>
            </c:numRef>
          </c:val>
          <c:extLst>
            <c:ext xmlns:c16="http://schemas.microsoft.com/office/drawing/2014/chart" uri="{C3380CC4-5D6E-409C-BE32-E72D297353CC}">
              <c16:uniqueId val="{00000000-2DCF-44E4-8D2E-FB48C019126B}"/>
            </c:ext>
          </c:extLst>
        </c:ser>
        <c:ser>
          <c:idx val="1"/>
          <c:order val="1"/>
          <c:tx>
            <c:strRef>
              <c:f>'3.Gov Dashboard'!$E$20</c:f>
              <c:strCache>
                <c:ptCount val="1"/>
                <c:pt idx="0">
                  <c:v>During authorized years</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Arial" panose="020B0604020202020204" pitchFamily="34" charset="0"/>
                    <a:ea typeface="+mn-ea"/>
                    <a:cs typeface="Arial" panose="020B0604020202020204" pitchFamily="34" charset="0"/>
                  </a:defRPr>
                </a:pPr>
                <a:endParaRPr lang="en-NL"/>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'3.Gov Dashboard'!$C$21:$C$23</c:f>
              <c:strCache>
                <c:ptCount val="3"/>
                <c:pt idx="0">
                  <c:v>Gross revenue from non-authorized credits</c:v>
                </c:pt>
                <c:pt idx="1">
                  <c:v>Gross revenue from authorized credits (ITMO)</c:v>
                </c:pt>
                <c:pt idx="2">
                  <c:v>Total gross revenue for the project</c:v>
                </c:pt>
              </c:strCache>
            </c:strRef>
          </c:cat>
          <c:val>
            <c:numRef>
              <c:f>'3.Gov Dashboard'!$E$21:$E$23</c:f>
              <c:numCache>
                <c:formatCode>_-[$$-409]* #,##0_ ;_-[$$-409]* \-#,##0\ ;_-[$$-409]* "-"??_ ;_-@_ </c:formatCode>
                <c:ptCount val="3"/>
                <c:pt idx="0">
                  <c:v>588000</c:v>
                </c:pt>
                <c:pt idx="1">
                  <c:v>2744000</c:v>
                </c:pt>
                <c:pt idx="2">
                  <c:v>3332000</c:v>
                </c:pt>
              </c:numCache>
            </c:numRef>
          </c:val>
          <c:extLst>
            <c:ext xmlns:c16="http://schemas.microsoft.com/office/drawing/2014/chart" uri="{C3380CC4-5D6E-409C-BE32-E72D297353CC}">
              <c16:uniqueId val="{00000001-2DCF-44E4-8D2E-FB48C019126B}"/>
            </c:ext>
          </c:extLst>
        </c:ser>
        <c:dLbls>
          <c:showLegendKey val="0"/>
          <c:showVal val="0"/>
          <c:showCatName val="0"/>
          <c:showSerName val="0"/>
          <c:showPercent val="0"/>
          <c:showBubbleSize val="0"/>
        </c:dLbls>
        <c:gapWidth val="20"/>
        <c:overlap val="-27"/>
        <c:axId val="241999311"/>
        <c:axId val="241997871"/>
      </c:barChart>
      <c:catAx>
        <c:axId val="241999311"/>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solidFill>
                <a:latin typeface="Arial" panose="020B0604020202020204" pitchFamily="34" charset="0"/>
                <a:ea typeface="+mn-ea"/>
                <a:cs typeface="Arial" panose="020B0604020202020204" pitchFamily="34" charset="0"/>
              </a:defRPr>
            </a:pPr>
            <a:endParaRPr lang="en-NL"/>
          </a:p>
        </c:txPr>
        <c:crossAx val="241997871"/>
        <c:crosses val="autoZero"/>
        <c:auto val="1"/>
        <c:lblAlgn val="ctr"/>
        <c:lblOffset val="100"/>
        <c:noMultiLvlLbl val="0"/>
      </c:catAx>
      <c:valAx>
        <c:axId val="241997871"/>
        <c:scaling>
          <c:orientation val="minMax"/>
        </c:scaling>
        <c:delete val="0"/>
        <c:axPos val="l"/>
        <c:majorGridlines>
          <c:spPr>
            <a:ln w="9525" cap="flat" cmpd="sng" algn="ctr">
              <a:solidFill>
                <a:schemeClr val="bg1">
                  <a:lumMod val="95000"/>
                </a:schemeClr>
              </a:solidFill>
              <a:prstDash val="sysDot"/>
              <a:round/>
            </a:ln>
            <a:effectLst/>
          </c:spPr>
        </c:majorGridlines>
        <c:numFmt formatCode="_-[$$-409]* #,##0_ ;_-[$$-409]* \-#,##0\ ;_-[$$-409]* &quot;-&quot;??_ ;_-@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Arial" panose="020B0604020202020204" pitchFamily="34" charset="0"/>
                <a:ea typeface="+mn-ea"/>
                <a:cs typeface="Arial" panose="020B0604020202020204" pitchFamily="34" charset="0"/>
              </a:defRPr>
            </a:pPr>
            <a:endParaRPr lang="en-NL"/>
          </a:p>
        </c:txPr>
        <c:crossAx val="241999311"/>
        <c:crosses val="autoZero"/>
        <c:crossBetween val="between"/>
        <c:dispUnits>
          <c:builtInUnit val="thousands"/>
          <c:dispUnitsLbl>
            <c:layout>
              <c:manualLayout>
                <c:xMode val="edge"/>
                <c:yMode val="edge"/>
                <c:x val="5.8837389820515131E-4"/>
                <c:y val="0.23386040243524103"/>
              </c:manualLayout>
            </c:layout>
            <c:spPr>
              <a:noFill/>
              <a:ln>
                <a:noFill/>
              </a:ln>
              <a:effectLst/>
            </c:spPr>
            <c:txPr>
              <a:bodyPr rot="-540000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NL"/>
              </a:p>
            </c:txPr>
          </c:dispUnitsLbl>
        </c:dispUnits>
      </c:valAx>
      <c:spPr>
        <a:noFill/>
        <a:ln>
          <a:noFill/>
        </a:ln>
        <a:effectLst/>
      </c:spPr>
    </c:plotArea>
    <c:legend>
      <c:legendPos val="t"/>
      <c:layout>
        <c:manualLayout>
          <c:xMode val="edge"/>
          <c:yMode val="edge"/>
          <c:x val="1.483212436914814E-3"/>
          <c:y val="0.11259067823640542"/>
          <c:w val="0.40348879476818722"/>
          <c:h val="6.626450647321975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Arial" panose="020B0604020202020204" pitchFamily="34" charset="0"/>
              <a:ea typeface="+mn-ea"/>
              <a:cs typeface="Arial" panose="020B0604020202020204" pitchFamily="34" charset="0"/>
            </a:defRPr>
          </a:pPr>
          <a:endParaRPr lang="en-NL"/>
        </a:p>
      </c:txPr>
    </c:legend>
    <c:plotVisOnly val="1"/>
    <c:dispBlanksAs val="gap"/>
    <c:showDLblsOverMax val="0"/>
  </c:chart>
  <c:spPr>
    <a:noFill/>
    <a:ln w="19050" cap="flat" cmpd="sng" algn="ctr">
      <a:solidFill>
        <a:schemeClr val="tx2"/>
      </a:solidFill>
      <a:round/>
    </a:ln>
    <a:effectLst/>
  </c:spPr>
  <c:txPr>
    <a:bodyPr/>
    <a:lstStyle/>
    <a:p>
      <a:pPr>
        <a:defRPr>
          <a:solidFill>
            <a:schemeClr val="tx1"/>
          </a:solidFill>
          <a:latin typeface="Arial" panose="020B0604020202020204" pitchFamily="34" charset="0"/>
          <a:cs typeface="Arial" panose="020B0604020202020204" pitchFamily="34" charset="0"/>
        </a:defRPr>
      </a:pPr>
      <a:endParaRPr lang="en-N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600" b="1" i="0" u="none" strike="noStrike" kern="1200" spc="0" baseline="0">
                <a:solidFill>
                  <a:schemeClr val="tx2"/>
                </a:solidFill>
                <a:latin typeface="+mn-lt"/>
                <a:ea typeface="+mn-ea"/>
                <a:cs typeface="+mn-cs"/>
              </a:defRPr>
            </a:pPr>
            <a:r>
              <a:rPr lang="es-419" sz="1600" b="1">
                <a:solidFill>
                  <a:schemeClr val="tx2"/>
                </a:solidFill>
              </a:rPr>
              <a:t>Government revenue</a:t>
            </a:r>
          </a:p>
          <a:p>
            <a:pPr algn="l">
              <a:defRPr sz="1600" b="1">
                <a:solidFill>
                  <a:schemeClr val="tx2"/>
                </a:solidFill>
              </a:defRPr>
            </a:pPr>
            <a:r>
              <a:rPr lang="es-419" sz="1600" b="1">
                <a:solidFill>
                  <a:schemeClr val="tx2"/>
                </a:solidFill>
              </a:rPr>
              <a:t>(non-authorized credits)</a:t>
            </a:r>
          </a:p>
        </c:rich>
      </c:tx>
      <c:layout>
        <c:manualLayout>
          <c:xMode val="edge"/>
          <c:yMode val="edge"/>
          <c:x val="5.6652696638726683E-3"/>
          <c:y val="8.343763037129746E-3"/>
        </c:manualLayout>
      </c:layout>
      <c:overlay val="0"/>
      <c:spPr>
        <a:noFill/>
        <a:ln>
          <a:noFill/>
        </a:ln>
        <a:effectLst/>
      </c:spPr>
      <c:txPr>
        <a:bodyPr rot="0" spcFirstLastPara="1" vertOverflow="ellipsis" vert="horz" wrap="square" anchor="ctr" anchorCtr="1"/>
        <a:lstStyle/>
        <a:p>
          <a:pPr algn="l">
            <a:defRPr sz="1600" b="1" i="0" u="none" strike="noStrike" kern="1200" spc="0" baseline="0">
              <a:solidFill>
                <a:schemeClr val="tx2"/>
              </a:solidFill>
              <a:latin typeface="+mn-lt"/>
              <a:ea typeface="+mn-ea"/>
              <a:cs typeface="+mn-cs"/>
            </a:defRPr>
          </a:pPr>
          <a:endParaRPr lang="en-NL"/>
        </a:p>
      </c:txPr>
    </c:title>
    <c:autoTitleDeleted val="0"/>
    <c:plotArea>
      <c:layout>
        <c:manualLayout>
          <c:layoutTarget val="inner"/>
          <c:xMode val="edge"/>
          <c:yMode val="edge"/>
          <c:x val="0.13405141748750576"/>
          <c:y val="0.22945195427788737"/>
          <c:w val="0.87159893319786641"/>
          <c:h val="0.58824824302509493"/>
        </c:manualLayout>
      </c:layout>
      <c:barChart>
        <c:barDir val="col"/>
        <c:grouping val="clustered"/>
        <c:varyColors val="0"/>
        <c:ser>
          <c:idx val="0"/>
          <c:order val="0"/>
          <c:spPr>
            <a:solidFill>
              <a:schemeClr val="accent1"/>
            </a:solidFill>
            <a:ln w="19050">
              <a:solidFill>
                <a:schemeClr val="lt1"/>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NL"/>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('3.Gov Dashboard'!$C$44,'3.Gov Dashboard'!$C$46:$C$48)</c15:sqref>
                  </c15:fullRef>
                </c:ext>
              </c:extLst>
              <c:f>('3.Gov Dashboard'!$C$44,'3.Gov Dashboard'!$C$46:$C$47)</c:f>
              <c:strCache>
                <c:ptCount val="3"/>
                <c:pt idx="0">
                  <c:v>Revenue from total applied administrative fees</c:v>
                </c:pt>
                <c:pt idx="1">
                  <c:v>Revenue from fees applied to non-authorized credits</c:v>
                </c:pt>
                <c:pt idx="2">
                  <c:v>Revenue from taxes on total revenues</c:v>
                </c:pt>
              </c:strCache>
            </c:strRef>
          </c:cat>
          <c:val>
            <c:numRef>
              <c:extLst>
                <c:ext xmlns:c15="http://schemas.microsoft.com/office/drawing/2012/chart" uri="{02D57815-91ED-43cb-92C2-25804820EDAC}">
                  <c15:fullRef>
                    <c15:sqref>('3.Gov Dashboard'!$D$44,'3.Gov Dashboard'!$D$46:$D$48)</c15:sqref>
                  </c15:fullRef>
                </c:ext>
              </c:extLst>
              <c:f>('3.Gov Dashboard'!$D$44,'3.Gov Dashboard'!$D$46:$D$47)</c:f>
              <c:numCache>
                <c:formatCode>_-[$$-409]* #,##0_ ;_-[$$-409]* \-#,##0\ ;_-[$$-409]* "-"??_ ;_-@_ </c:formatCode>
                <c:ptCount val="3"/>
                <c:pt idx="0">
                  <c:v>3000</c:v>
                </c:pt>
                <c:pt idx="1">
                  <c:v>1470</c:v>
                </c:pt>
                <c:pt idx="2">
                  <c:v>0</c:v>
                </c:pt>
              </c:numCache>
            </c:numRef>
          </c:val>
          <c:extLst>
            <c:ext xmlns:c16="http://schemas.microsoft.com/office/drawing/2014/chart" uri="{C3380CC4-5D6E-409C-BE32-E72D297353CC}">
              <c16:uniqueId val="{00000000-9F75-48E0-9D3E-B8937CAC0984}"/>
            </c:ext>
          </c:extLst>
        </c:ser>
        <c:dLbls>
          <c:showLegendKey val="0"/>
          <c:showVal val="0"/>
          <c:showCatName val="0"/>
          <c:showSerName val="0"/>
          <c:showPercent val="0"/>
          <c:showBubbleSize val="0"/>
        </c:dLbls>
        <c:gapWidth val="20"/>
        <c:axId val="1292629583"/>
        <c:axId val="1292632463"/>
      </c:barChart>
      <c:catAx>
        <c:axId val="1292629583"/>
        <c:scaling>
          <c:orientation val="minMax"/>
        </c:scaling>
        <c:delete val="0"/>
        <c:axPos val="b"/>
        <c:numFmt formatCode="General" sourceLinked="1"/>
        <c:majorTickMark val="out"/>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solidFill>
                <a:latin typeface="+mn-lt"/>
                <a:ea typeface="+mn-ea"/>
                <a:cs typeface="+mn-cs"/>
              </a:defRPr>
            </a:pPr>
            <a:endParaRPr lang="en-NL"/>
          </a:p>
        </c:txPr>
        <c:crossAx val="1292632463"/>
        <c:crosses val="autoZero"/>
        <c:auto val="1"/>
        <c:lblAlgn val="ctr"/>
        <c:lblOffset val="100"/>
        <c:noMultiLvlLbl val="0"/>
      </c:catAx>
      <c:valAx>
        <c:axId val="1292632463"/>
        <c:scaling>
          <c:orientation val="minMax"/>
        </c:scaling>
        <c:delete val="0"/>
        <c:axPos val="l"/>
        <c:majorGridlines>
          <c:spPr>
            <a:ln w="9525" cap="flat" cmpd="sng" algn="ctr">
              <a:solidFill>
                <a:schemeClr val="bg1">
                  <a:lumMod val="95000"/>
                </a:schemeClr>
              </a:solidFill>
              <a:prstDash val="sysDot"/>
              <a:round/>
            </a:ln>
            <a:effectLst/>
          </c:spPr>
        </c:majorGridlines>
        <c:numFmt formatCode="_-[$$-409]* #,##0_ ;_-[$$-409]* \-#,##0\ ;_-[$$-409]* &quot;-&quot;??_ ;_-@_ "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NL"/>
          </a:p>
        </c:txPr>
        <c:crossAx val="1292629583"/>
        <c:crosses val="autoZero"/>
        <c:crossBetween val="between"/>
      </c:valAx>
      <c:spPr>
        <a:noFill/>
        <a:ln>
          <a:noFill/>
        </a:ln>
        <a:effectLst/>
      </c:spPr>
    </c:plotArea>
    <c:plotVisOnly val="1"/>
    <c:dispBlanksAs val="gap"/>
    <c:showDLblsOverMax val="0"/>
  </c:chart>
  <c:spPr>
    <a:noFill/>
    <a:ln w="19050" cap="flat" cmpd="sng" algn="ctr">
      <a:solidFill>
        <a:schemeClr val="tx2"/>
      </a:solidFill>
      <a:round/>
    </a:ln>
    <a:effectLst/>
  </c:spPr>
  <c:txPr>
    <a:bodyPr/>
    <a:lstStyle/>
    <a:p>
      <a:pPr>
        <a:defRPr sz="900">
          <a:solidFill>
            <a:schemeClr val="tx1"/>
          </a:solidFill>
        </a:defRPr>
      </a:pPr>
      <a:endParaRPr lang="en-NL"/>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600" b="1" i="0" u="none" strike="noStrike" kern="1200" spc="0" baseline="0">
                <a:solidFill>
                  <a:schemeClr val="tx2"/>
                </a:solidFill>
                <a:latin typeface="+mn-lt"/>
                <a:ea typeface="+mn-ea"/>
                <a:cs typeface="+mn-cs"/>
              </a:defRPr>
            </a:pPr>
            <a:r>
              <a:rPr lang="es-419" sz="1600" b="1">
                <a:solidFill>
                  <a:schemeClr val="tx2"/>
                </a:solidFill>
              </a:rPr>
              <a:t>Gov revenue (authorized credits)</a:t>
            </a:r>
          </a:p>
        </c:rich>
      </c:tx>
      <c:layout>
        <c:manualLayout>
          <c:xMode val="edge"/>
          <c:yMode val="edge"/>
          <c:x val="2.7560521415270095E-3"/>
          <c:y val="0"/>
        </c:manualLayout>
      </c:layout>
      <c:overlay val="0"/>
      <c:spPr>
        <a:noFill/>
        <a:ln>
          <a:noFill/>
        </a:ln>
        <a:effectLst/>
      </c:spPr>
      <c:txPr>
        <a:bodyPr rot="0" spcFirstLastPara="1" vertOverflow="ellipsis" vert="horz" wrap="square" anchor="ctr" anchorCtr="1"/>
        <a:lstStyle/>
        <a:p>
          <a:pPr algn="l">
            <a:defRPr sz="1600" b="1" i="0" u="none" strike="noStrike" kern="1200" spc="0" baseline="0">
              <a:solidFill>
                <a:schemeClr val="tx2"/>
              </a:solidFill>
              <a:latin typeface="+mn-lt"/>
              <a:ea typeface="+mn-ea"/>
              <a:cs typeface="+mn-cs"/>
            </a:defRPr>
          </a:pPr>
          <a:endParaRPr lang="en-NL"/>
        </a:p>
      </c:txPr>
    </c:title>
    <c:autoTitleDeleted val="0"/>
    <c:plotArea>
      <c:layout>
        <c:manualLayout>
          <c:layoutTarget val="inner"/>
          <c:xMode val="edge"/>
          <c:yMode val="edge"/>
          <c:x val="0.21145354037449229"/>
          <c:y val="0.23549421760101855"/>
          <c:w val="0.78482206483966044"/>
          <c:h val="0.63048503595125971"/>
        </c:manualLayout>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NL"/>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'3.Gov Dashboard'!$C$45</c:f>
              <c:strCache>
                <c:ptCount val="1"/>
                <c:pt idx="0">
                  <c:v>Revenue from total authorized credits (including CA fee)</c:v>
                </c:pt>
              </c:strCache>
            </c:strRef>
          </c:cat>
          <c:val>
            <c:numRef>
              <c:f>'3.Gov Dashboard'!$D$45</c:f>
              <c:numCache>
                <c:formatCode>_-[$$-409]* #,##0_ ;_-[$$-409]* \-#,##0\ ;_-[$$-409]* "-"??_ ;_-@_ </c:formatCode>
                <c:ptCount val="1"/>
                <c:pt idx="0">
                  <c:v>1783600</c:v>
                </c:pt>
              </c:numCache>
            </c:numRef>
          </c:val>
          <c:extLst>
            <c:ext xmlns:c16="http://schemas.microsoft.com/office/drawing/2014/chart" uri="{C3380CC4-5D6E-409C-BE32-E72D297353CC}">
              <c16:uniqueId val="{00000000-19D0-49EF-BA07-3D89BA1D937D}"/>
            </c:ext>
          </c:extLst>
        </c:ser>
        <c:dLbls>
          <c:showLegendKey val="0"/>
          <c:showVal val="0"/>
          <c:showCatName val="0"/>
          <c:showSerName val="0"/>
          <c:showPercent val="0"/>
          <c:showBubbleSize val="0"/>
        </c:dLbls>
        <c:gapWidth val="90"/>
        <c:overlap val="-27"/>
        <c:axId val="2056555327"/>
        <c:axId val="2056549087"/>
      </c:barChart>
      <c:catAx>
        <c:axId val="20565553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solidFill>
                <a:latin typeface="+mn-lt"/>
                <a:ea typeface="+mn-ea"/>
                <a:cs typeface="+mn-cs"/>
              </a:defRPr>
            </a:pPr>
            <a:endParaRPr lang="en-NL"/>
          </a:p>
        </c:txPr>
        <c:crossAx val="2056549087"/>
        <c:crosses val="autoZero"/>
        <c:auto val="1"/>
        <c:lblAlgn val="ctr"/>
        <c:lblOffset val="100"/>
        <c:noMultiLvlLbl val="0"/>
      </c:catAx>
      <c:valAx>
        <c:axId val="2056549087"/>
        <c:scaling>
          <c:orientation val="minMax"/>
        </c:scaling>
        <c:delete val="0"/>
        <c:axPos val="l"/>
        <c:majorGridlines>
          <c:spPr>
            <a:ln w="9525" cap="flat" cmpd="sng" algn="ctr">
              <a:solidFill>
                <a:schemeClr val="bg1">
                  <a:lumMod val="95000"/>
                </a:schemeClr>
              </a:solidFill>
              <a:prstDash val="sysDot"/>
              <a:round/>
            </a:ln>
            <a:effectLst/>
          </c:spPr>
        </c:majorGridlines>
        <c:numFmt formatCode="_-[$$-409]* #,##0_ ;_-[$$-409]* \-#,##0\ ;_-[$$-409]* &quot;-&quot;??_ ;_-@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NL"/>
          </a:p>
        </c:txPr>
        <c:crossAx val="2056555327"/>
        <c:crosses val="autoZero"/>
        <c:crossBetween val="between"/>
      </c:valAx>
      <c:spPr>
        <a:noFill/>
        <a:ln>
          <a:noFill/>
        </a:ln>
        <a:effectLst/>
      </c:spPr>
    </c:plotArea>
    <c:plotVisOnly val="1"/>
    <c:dispBlanksAs val="gap"/>
    <c:showDLblsOverMax val="0"/>
  </c:chart>
  <c:spPr>
    <a:noFill/>
    <a:ln w="19050" cap="flat" cmpd="sng" algn="ctr">
      <a:solidFill>
        <a:schemeClr val="tx2"/>
      </a:solidFill>
      <a:round/>
    </a:ln>
    <a:effectLst/>
  </c:spPr>
  <c:txPr>
    <a:bodyPr/>
    <a:lstStyle/>
    <a:p>
      <a:pPr>
        <a:defRPr sz="900">
          <a:solidFill>
            <a:schemeClr val="tx1"/>
          </a:solidFill>
        </a:defRPr>
      </a:pPr>
      <a:endParaRPr lang="en-NL"/>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600" b="1" i="0" u="none" strike="noStrike" kern="1200" spc="0" baseline="0">
                <a:solidFill>
                  <a:schemeClr val="tx2"/>
                </a:solidFill>
                <a:latin typeface="+mn-lt"/>
                <a:ea typeface="+mn-ea"/>
                <a:cs typeface="+mn-cs"/>
              </a:defRPr>
            </a:pPr>
            <a:r>
              <a:rPr lang="es-419" sz="1600" b="1">
                <a:solidFill>
                  <a:schemeClr val="tx2"/>
                </a:solidFill>
              </a:rPr>
              <a:t>Excess government revenue</a:t>
            </a:r>
          </a:p>
        </c:rich>
      </c:tx>
      <c:layout>
        <c:manualLayout>
          <c:xMode val="edge"/>
          <c:yMode val="edge"/>
          <c:x val="2.1209302325581143E-3"/>
          <c:y val="0"/>
        </c:manualLayout>
      </c:layout>
      <c:overlay val="0"/>
      <c:spPr>
        <a:noFill/>
        <a:ln>
          <a:noFill/>
        </a:ln>
        <a:effectLst/>
      </c:spPr>
      <c:txPr>
        <a:bodyPr rot="0" spcFirstLastPara="1" vertOverflow="ellipsis" vert="horz" wrap="square" anchor="ctr" anchorCtr="1"/>
        <a:lstStyle/>
        <a:p>
          <a:pPr algn="l">
            <a:defRPr sz="1600" b="1" i="0" u="none" strike="noStrike" kern="1200" spc="0" baseline="0">
              <a:solidFill>
                <a:schemeClr val="tx2"/>
              </a:solidFill>
              <a:latin typeface="+mn-lt"/>
              <a:ea typeface="+mn-ea"/>
              <a:cs typeface="+mn-cs"/>
            </a:defRPr>
          </a:pPr>
          <a:endParaRPr lang="en-NL"/>
        </a:p>
      </c:txPr>
    </c:title>
    <c:autoTitleDeleted val="0"/>
    <c:plotArea>
      <c:layout>
        <c:manualLayout>
          <c:layoutTarget val="inner"/>
          <c:xMode val="edge"/>
          <c:yMode val="edge"/>
          <c:x val="0.16631365952980157"/>
          <c:y val="0.2316966737368257"/>
          <c:w val="0.7655179391195478"/>
          <c:h val="0.62776270573340576"/>
        </c:manualLayout>
      </c:layout>
      <c:barChart>
        <c:barDir val="col"/>
        <c:grouping val="clustered"/>
        <c:varyColors val="0"/>
        <c:ser>
          <c:idx val="0"/>
          <c:order val="0"/>
          <c:tx>
            <c:strRef>
              <c:f>'3.Gov Dashboard'!$D$43</c:f>
              <c:strCache>
                <c:ptCount val="1"/>
                <c:pt idx="0">
                  <c:v>Fee revenue (USD)</c:v>
                </c:pt>
              </c:strCache>
            </c:strRef>
          </c:tx>
          <c:spPr>
            <a:solidFill>
              <a:schemeClr val="accent1"/>
            </a:solidFill>
            <a:ln>
              <a:noFill/>
            </a:ln>
            <a:effectLst/>
          </c:spPr>
          <c:invertIfNegative val="0"/>
          <c:cat>
            <c:strRef>
              <c:f>'3.Gov Dashboard'!$C$44:$C$48</c:f>
              <c:strCache>
                <c:ptCount val="5"/>
                <c:pt idx="0">
                  <c:v>Revenue from total applied administrative fees</c:v>
                </c:pt>
                <c:pt idx="1">
                  <c:v>Revenue from total authorized credits (including CA fee)</c:v>
                </c:pt>
                <c:pt idx="2">
                  <c:v>Revenue from fees applied to non-authorized credits</c:v>
                </c:pt>
                <c:pt idx="3">
                  <c:v>Revenue from taxes on total revenues</c:v>
                </c:pt>
                <c:pt idx="4">
                  <c:v>Cost of managing community funds</c:v>
                </c:pt>
              </c:strCache>
            </c:strRef>
          </c:cat>
          <c:val>
            <c:numRef>
              <c:f>'3.Gov Dashboard'!$D$44:$D$48</c:f>
              <c:numCache>
                <c:formatCode>_-[$$-409]* #,##0_ ;_-[$$-409]* \-#,##0\ ;_-[$$-409]* "-"??_ ;_-@_ </c:formatCode>
                <c:ptCount val="5"/>
                <c:pt idx="0">
                  <c:v>3000</c:v>
                </c:pt>
                <c:pt idx="1">
                  <c:v>1783600</c:v>
                </c:pt>
                <c:pt idx="2">
                  <c:v>1470</c:v>
                </c:pt>
                <c:pt idx="3">
                  <c:v>0</c:v>
                </c:pt>
                <c:pt idx="4">
                  <c:v>-50000</c:v>
                </c:pt>
              </c:numCache>
            </c:numRef>
          </c:val>
          <c:extLst>
            <c:ext xmlns:c16="http://schemas.microsoft.com/office/drawing/2014/chart" uri="{C3380CC4-5D6E-409C-BE32-E72D297353CC}">
              <c16:uniqueId val="{00000000-CAB1-4FB7-AD11-F80037603926}"/>
            </c:ext>
          </c:extLst>
        </c:ser>
        <c:ser>
          <c:idx val="1"/>
          <c:order val="1"/>
          <c:tx>
            <c:strRef>
              <c:f>'3.Gov Dashboard'!$G$43</c:f>
              <c:strCache>
                <c:ptCount val="1"/>
                <c:pt idx="0">
                  <c:v>Excess revenue (USD)</c:v>
                </c:pt>
              </c:strCache>
            </c:strRef>
          </c:tx>
          <c:spPr>
            <a:solidFill>
              <a:schemeClr val="accent3"/>
            </a:solidFill>
            <a:ln>
              <a:noFill/>
            </a:ln>
            <a:effectLst/>
          </c:spPr>
          <c:invertIfNegative val="0"/>
          <c:cat>
            <c:strRef>
              <c:f>'3.Gov Dashboard'!$C$44:$C$48</c:f>
              <c:strCache>
                <c:ptCount val="5"/>
                <c:pt idx="0">
                  <c:v>Revenue from total applied administrative fees</c:v>
                </c:pt>
                <c:pt idx="1">
                  <c:v>Revenue from total authorized credits (including CA fee)</c:v>
                </c:pt>
                <c:pt idx="2">
                  <c:v>Revenue from fees applied to non-authorized credits</c:v>
                </c:pt>
                <c:pt idx="3">
                  <c:v>Revenue from taxes on total revenues</c:v>
                </c:pt>
                <c:pt idx="4">
                  <c:v>Cost of managing community funds</c:v>
                </c:pt>
              </c:strCache>
            </c:strRef>
          </c:cat>
          <c:val>
            <c:numRef>
              <c:f>'3.Gov Dashboard'!$G$44:$G$48</c:f>
              <c:numCache>
                <c:formatCode>_-[$$-409]* #,##0_ ;_-[$$-409]* \-#,##0\ ;_-[$$-409]* "-"??_ ;_-@_ </c:formatCode>
                <c:ptCount val="5"/>
                <c:pt idx="0">
                  <c:v>3000</c:v>
                </c:pt>
                <c:pt idx="1">
                  <c:v>1783600</c:v>
                </c:pt>
                <c:pt idx="2">
                  <c:v>1470</c:v>
                </c:pt>
                <c:pt idx="3">
                  <c:v>0</c:v>
                </c:pt>
                <c:pt idx="4">
                  <c:v>-50000</c:v>
                </c:pt>
              </c:numCache>
            </c:numRef>
          </c:val>
          <c:extLst>
            <c:ext xmlns:c16="http://schemas.microsoft.com/office/drawing/2014/chart" uri="{C3380CC4-5D6E-409C-BE32-E72D297353CC}">
              <c16:uniqueId val="{00000001-CAB1-4FB7-AD11-F80037603926}"/>
            </c:ext>
          </c:extLst>
        </c:ser>
        <c:dLbls>
          <c:showLegendKey val="0"/>
          <c:showVal val="0"/>
          <c:showCatName val="0"/>
          <c:showSerName val="0"/>
          <c:showPercent val="0"/>
          <c:showBubbleSize val="0"/>
        </c:dLbls>
        <c:gapWidth val="20"/>
        <c:axId val="579579983"/>
        <c:axId val="579593423"/>
      </c:barChart>
      <c:catAx>
        <c:axId val="579579983"/>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800" b="0" i="0" u="none" strike="noStrike" kern="1200" baseline="0">
                <a:solidFill>
                  <a:schemeClr val="tx1"/>
                </a:solidFill>
                <a:latin typeface="+mn-lt"/>
                <a:ea typeface="+mn-ea"/>
                <a:cs typeface="+mn-cs"/>
              </a:defRPr>
            </a:pPr>
            <a:endParaRPr lang="en-NL"/>
          </a:p>
        </c:txPr>
        <c:crossAx val="579593423"/>
        <c:crosses val="autoZero"/>
        <c:auto val="1"/>
        <c:lblAlgn val="ctr"/>
        <c:lblOffset val="100"/>
        <c:noMultiLvlLbl val="0"/>
      </c:catAx>
      <c:valAx>
        <c:axId val="579593423"/>
        <c:scaling>
          <c:orientation val="minMax"/>
        </c:scaling>
        <c:delete val="0"/>
        <c:axPos val="l"/>
        <c:majorGridlines>
          <c:spPr>
            <a:ln w="9525" cap="flat" cmpd="sng" algn="ctr">
              <a:solidFill>
                <a:schemeClr val="bg1">
                  <a:lumMod val="95000"/>
                </a:schemeClr>
              </a:solidFill>
              <a:prstDash val="sysDot"/>
              <a:round/>
            </a:ln>
            <a:effectLst/>
          </c:spPr>
        </c:majorGridlines>
        <c:numFmt formatCode="_-[$$-409]* #,##0_ ;_-[$$-409]* \-#,##0\ ;_-[$$-409]* &quot;-&quot;??_ ;_-@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NL"/>
          </a:p>
        </c:txPr>
        <c:crossAx val="579579983"/>
        <c:crosses val="autoZero"/>
        <c:crossBetween val="between"/>
      </c:valAx>
      <c:spPr>
        <a:noFill/>
        <a:ln>
          <a:noFill/>
        </a:ln>
        <a:effectLst/>
      </c:spPr>
    </c:plotArea>
    <c:legend>
      <c:legendPos val="t"/>
      <c:layout>
        <c:manualLayout>
          <c:xMode val="edge"/>
          <c:yMode val="edge"/>
          <c:x val="0"/>
          <c:y val="0.10170593702610596"/>
          <c:w val="0.60990994261098952"/>
          <c:h val="6.605866910170071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NL"/>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19050" cap="flat" cmpd="sng" algn="ctr">
      <a:solidFill>
        <a:schemeClr val="tx2"/>
      </a:solidFill>
      <a:round/>
    </a:ln>
    <a:effectLst/>
  </c:spPr>
  <c:txPr>
    <a:bodyPr/>
    <a:lstStyle/>
    <a:p>
      <a:pPr>
        <a:defRPr sz="900">
          <a:solidFill>
            <a:schemeClr val="tx1"/>
          </a:solidFill>
        </a:defRPr>
      </a:pPr>
      <a:endParaRPr lang="en-NL"/>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chemeClr val="tx2"/>
                </a:solidFill>
                <a:latin typeface="+mn-lt"/>
                <a:ea typeface="+mn-ea"/>
                <a:cs typeface="+mn-cs"/>
              </a:defRPr>
            </a:pPr>
            <a:r>
              <a:rPr lang="es-419" sz="1600" b="1">
                <a:solidFill>
                  <a:schemeClr val="tx2"/>
                </a:solidFill>
              </a:rPr>
              <a:t>Withheld or cancelled credits</a:t>
            </a:r>
          </a:p>
        </c:rich>
      </c:tx>
      <c:layout>
        <c:manualLayout>
          <c:xMode val="edge"/>
          <c:yMode val="edge"/>
          <c:x val="1.2282743637492361E-3"/>
          <c:y val="4.1997354497354498E-3"/>
        </c:manualLayout>
      </c:layout>
      <c:overlay val="0"/>
      <c:spPr>
        <a:noFill/>
        <a:ln>
          <a:noFill/>
        </a:ln>
        <a:effectLst/>
      </c:spPr>
      <c:txPr>
        <a:bodyPr rot="0" spcFirstLastPara="1" vertOverflow="ellipsis" vert="horz" wrap="square" anchor="ctr" anchorCtr="1"/>
        <a:lstStyle/>
        <a:p>
          <a:pPr>
            <a:defRPr sz="1600" b="1" i="0" u="none" strike="noStrike" kern="1200" spc="0" baseline="0">
              <a:solidFill>
                <a:schemeClr val="tx2"/>
              </a:solidFill>
              <a:latin typeface="+mn-lt"/>
              <a:ea typeface="+mn-ea"/>
              <a:cs typeface="+mn-cs"/>
            </a:defRPr>
          </a:pPr>
          <a:endParaRPr lang="en-NL"/>
        </a:p>
      </c:txPr>
    </c:title>
    <c:autoTitleDeleted val="0"/>
    <c:plotArea>
      <c:layout>
        <c:manualLayout>
          <c:layoutTarget val="inner"/>
          <c:xMode val="edge"/>
          <c:yMode val="edge"/>
          <c:x val="0.41154996896337681"/>
          <c:y val="0.18625628306878306"/>
          <c:w val="0.55690207945375547"/>
          <c:h val="0.73979115226337444"/>
        </c:manualLayout>
      </c:layout>
      <c:barChart>
        <c:barDir val="bar"/>
        <c:grouping val="clustered"/>
        <c:varyColors val="0"/>
        <c:ser>
          <c:idx val="0"/>
          <c:order val="0"/>
          <c:tx>
            <c:strRef>
              <c:f>'3.Gov Dashboard'!$D$73</c:f>
              <c:strCache>
                <c:ptCount val="1"/>
                <c:pt idx="0">
                  <c:v>Credits (total duration)</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NL"/>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'3.Gov Dashboard'!$C$74:$C$76</c:f>
              <c:strCache>
                <c:ptCount val="3"/>
                <c:pt idx="0">
                  <c:v>Withheld credits (share of proceeds)</c:v>
                </c:pt>
                <c:pt idx="1">
                  <c:v>Cancelled credits (overall mitigation in global emissions)</c:v>
                </c:pt>
                <c:pt idx="2">
                  <c:v>Withheld credits (NDC buffer authorized)</c:v>
                </c:pt>
              </c:strCache>
            </c:strRef>
          </c:cat>
          <c:val>
            <c:numRef>
              <c:f>'3.Gov Dashboard'!$D$74:$D$76</c:f>
              <c:numCache>
                <c:formatCode>_ * #,##0_ ;_ * \-#,##0_ ;_ * "-"??_ ;_ @_ </c:formatCode>
                <c:ptCount val="3"/>
                <c:pt idx="0">
                  <c:v>10000</c:v>
                </c:pt>
                <c:pt idx="1">
                  <c:v>0</c:v>
                </c:pt>
                <c:pt idx="2">
                  <c:v>3000</c:v>
                </c:pt>
              </c:numCache>
            </c:numRef>
          </c:val>
          <c:extLst>
            <c:ext xmlns:c16="http://schemas.microsoft.com/office/drawing/2014/chart" uri="{C3380CC4-5D6E-409C-BE32-E72D297353CC}">
              <c16:uniqueId val="{00000000-2EC2-424A-804B-449E9217CA39}"/>
            </c:ext>
          </c:extLst>
        </c:ser>
        <c:ser>
          <c:idx val="1"/>
          <c:order val="1"/>
          <c:tx>
            <c:strRef>
              <c:f>'3.Gov Dashboard'!$F$73</c:f>
              <c:strCache>
                <c:ptCount val="1"/>
                <c:pt idx="0">
                  <c:v>Credits (authorized years)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n-NL"/>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'3.Gov Dashboard'!$C$74:$C$76</c:f>
              <c:strCache>
                <c:ptCount val="3"/>
                <c:pt idx="0">
                  <c:v>Withheld credits (share of proceeds)</c:v>
                </c:pt>
                <c:pt idx="1">
                  <c:v>Cancelled credits (overall mitigation in global emissions)</c:v>
                </c:pt>
                <c:pt idx="2">
                  <c:v>Withheld credits (NDC buffer authorized)</c:v>
                </c:pt>
              </c:strCache>
            </c:strRef>
          </c:cat>
          <c:val>
            <c:numRef>
              <c:f>'3.Gov Dashboard'!$F$74:$F$76</c:f>
              <c:numCache>
                <c:formatCode>#,##0</c:formatCode>
                <c:ptCount val="3"/>
                <c:pt idx="0">
                  <c:v>4000</c:v>
                </c:pt>
                <c:pt idx="1">
                  <c:v>0</c:v>
                </c:pt>
                <c:pt idx="2" formatCode="General">
                  <c:v>1000</c:v>
                </c:pt>
              </c:numCache>
            </c:numRef>
          </c:val>
          <c:extLst>
            <c:ext xmlns:c16="http://schemas.microsoft.com/office/drawing/2014/chart" uri="{C3380CC4-5D6E-409C-BE32-E72D297353CC}">
              <c16:uniqueId val="{00000001-2EC2-424A-804B-449E9217CA39}"/>
            </c:ext>
          </c:extLst>
        </c:ser>
        <c:dLbls>
          <c:dLblPos val="outEnd"/>
          <c:showLegendKey val="0"/>
          <c:showVal val="1"/>
          <c:showCatName val="0"/>
          <c:showSerName val="0"/>
          <c:showPercent val="0"/>
          <c:showBubbleSize val="0"/>
        </c:dLbls>
        <c:gapWidth val="20"/>
        <c:axId val="2133033519"/>
        <c:axId val="2133031599"/>
      </c:barChart>
      <c:catAx>
        <c:axId val="213303351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solidFill>
                <a:latin typeface="+mn-lt"/>
                <a:ea typeface="+mn-ea"/>
                <a:cs typeface="+mn-cs"/>
              </a:defRPr>
            </a:pPr>
            <a:endParaRPr lang="en-NL"/>
          </a:p>
        </c:txPr>
        <c:crossAx val="2133031599"/>
        <c:crosses val="autoZero"/>
        <c:auto val="1"/>
        <c:lblAlgn val="ctr"/>
        <c:lblOffset val="100"/>
        <c:noMultiLvlLbl val="0"/>
      </c:catAx>
      <c:valAx>
        <c:axId val="2133031599"/>
        <c:scaling>
          <c:orientation val="minMax"/>
        </c:scaling>
        <c:delete val="0"/>
        <c:axPos val="b"/>
        <c:majorGridlines>
          <c:spPr>
            <a:ln w="9525" cap="flat" cmpd="sng" algn="ctr">
              <a:solidFill>
                <a:schemeClr val="bg1">
                  <a:lumMod val="95000"/>
                </a:schemeClr>
              </a:solidFill>
              <a:prstDash val="sysDot"/>
              <a:round/>
            </a:ln>
            <a:effectLst/>
          </c:spPr>
        </c:majorGridlines>
        <c:numFmt formatCode="_ * #,##0_ ;_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NL"/>
          </a:p>
        </c:txPr>
        <c:crossAx val="2133033519"/>
        <c:crosses val="autoZero"/>
        <c:crossBetween val="between"/>
      </c:valAx>
      <c:spPr>
        <a:noFill/>
        <a:ln>
          <a:noFill/>
        </a:ln>
        <a:effectLst/>
      </c:spPr>
    </c:plotArea>
    <c:legend>
      <c:legendPos val="t"/>
      <c:layout>
        <c:manualLayout>
          <c:xMode val="edge"/>
          <c:yMode val="edge"/>
          <c:x val="0.42237957790192426"/>
          <c:y val="0.10667328042328041"/>
          <c:w val="0.49539675925925925"/>
          <c:h val="6.946467764060357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NL"/>
        </a:p>
      </c:txPr>
    </c:legend>
    <c:plotVisOnly val="1"/>
    <c:dispBlanksAs val="gap"/>
    <c:showDLblsOverMax val="0"/>
  </c:chart>
  <c:spPr>
    <a:noFill/>
    <a:ln w="19050" cap="flat" cmpd="sng" algn="ctr">
      <a:solidFill>
        <a:schemeClr val="tx2"/>
      </a:solidFill>
      <a:round/>
    </a:ln>
    <a:effectLst/>
  </c:spPr>
  <c:txPr>
    <a:bodyPr/>
    <a:lstStyle/>
    <a:p>
      <a:pPr>
        <a:defRPr sz="900">
          <a:solidFill>
            <a:schemeClr val="tx1"/>
          </a:solidFill>
        </a:defRPr>
      </a:pPr>
      <a:endParaRPr lang="en-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54428</xdr:colOff>
      <xdr:row>0</xdr:row>
      <xdr:rowOff>231130</xdr:rowOff>
    </xdr:from>
    <xdr:to>
      <xdr:col>3</xdr:col>
      <xdr:colOff>747962</xdr:colOff>
      <xdr:row>0</xdr:row>
      <xdr:rowOff>1115454</xdr:rowOff>
    </xdr:to>
    <xdr:pic>
      <xdr:nvPicPr>
        <xdr:cNvPr id="2" name="Picture 1">
          <a:extLst>
            <a:ext uri="{FF2B5EF4-FFF2-40B4-BE49-F238E27FC236}">
              <a16:creationId xmlns:a16="http://schemas.microsoft.com/office/drawing/2014/main" id="{EAE713C2-3B2E-41B3-A52A-09E26CCE8B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25285" y="231130"/>
          <a:ext cx="2435248" cy="884324"/>
        </a:xfrm>
        <a:prstGeom prst="rect">
          <a:avLst/>
        </a:prstGeom>
      </xdr:spPr>
    </xdr:pic>
    <xdr:clientData/>
  </xdr:twoCellAnchor>
  <xdr:twoCellAnchor editAs="oneCell">
    <xdr:from>
      <xdr:col>11</xdr:col>
      <xdr:colOff>19505</xdr:colOff>
      <xdr:row>0</xdr:row>
      <xdr:rowOff>290286</xdr:rowOff>
    </xdr:from>
    <xdr:to>
      <xdr:col>15</xdr:col>
      <xdr:colOff>52378</xdr:colOff>
      <xdr:row>0</xdr:row>
      <xdr:rowOff>1305105</xdr:rowOff>
    </xdr:to>
    <xdr:pic>
      <xdr:nvPicPr>
        <xdr:cNvPr id="4" name="Picture 2" descr="Government of Germany, Federal Ministry for the Environment, Climate  Action, Nature Conservation and Nuclear Safety (BMUKN) | International  Institute for Sustainable Development">
          <a:extLst>
            <a:ext uri="{FF2B5EF4-FFF2-40B4-BE49-F238E27FC236}">
              <a16:creationId xmlns:a16="http://schemas.microsoft.com/office/drawing/2014/main" id="{095763F3-4EE3-49EB-AAAC-E0B3B60B87D0}"/>
            </a:ext>
          </a:extLst>
        </xdr:cNvPr>
        <xdr:cNvPicPr>
          <a:picLocks noChangeAspect="1" noChangeArrowheads="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l="4572" t="25737" r="4445" b="24537"/>
        <a:stretch>
          <a:fillRect/>
        </a:stretch>
      </xdr:blipFill>
      <xdr:spPr bwMode="auto">
        <a:xfrm>
          <a:off x="9598934" y="290286"/>
          <a:ext cx="3516301" cy="1014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381908</xdr:colOff>
      <xdr:row>0</xdr:row>
      <xdr:rowOff>54429</xdr:rowOff>
    </xdr:from>
    <xdr:to>
      <xdr:col>17</xdr:col>
      <xdr:colOff>653144</xdr:colOff>
      <xdr:row>0</xdr:row>
      <xdr:rowOff>1069248</xdr:rowOff>
    </xdr:to>
    <xdr:pic>
      <xdr:nvPicPr>
        <xdr:cNvPr id="5" name="Picture 4" descr="The IKI – a retrospective | Internationale Klimaschutzinitiative (IKI)">
          <a:extLst>
            <a:ext uri="{FF2B5EF4-FFF2-40B4-BE49-F238E27FC236}">
              <a16:creationId xmlns:a16="http://schemas.microsoft.com/office/drawing/2014/main" id="{3DBE7686-FF41-4D07-920D-4E7CD429B546}"/>
            </a:ext>
          </a:extLst>
        </xdr:cNvPr>
        <xdr:cNvPicPr>
          <a:picLocks noChangeAspect="1" noChangeArrowheads="1"/>
        </xdr:cNvPicPr>
      </xdr:nvPicPr>
      <xdr:blipFill rotWithShape="1">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l="7866" t="10790" r="8041" b="13679"/>
        <a:stretch>
          <a:fillRect/>
        </a:stretch>
      </xdr:blipFill>
      <xdr:spPr bwMode="auto">
        <a:xfrm>
          <a:off x="13444765" y="54429"/>
          <a:ext cx="2012950" cy="10148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250026</xdr:colOff>
      <xdr:row>0</xdr:row>
      <xdr:rowOff>103250</xdr:rowOff>
    </xdr:from>
    <xdr:to>
      <xdr:col>8</xdr:col>
      <xdr:colOff>160644</xdr:colOff>
      <xdr:row>0</xdr:row>
      <xdr:rowOff>1123676</xdr:rowOff>
    </xdr:to>
    <xdr:pic>
      <xdr:nvPicPr>
        <xdr:cNvPr id="6" name="Picture 3" descr="WAA">
          <a:extLst>
            <a:ext uri="{FF2B5EF4-FFF2-40B4-BE49-F238E27FC236}">
              <a16:creationId xmlns:a16="http://schemas.microsoft.com/office/drawing/2014/main" id="{7246883C-A460-4EA7-979E-5B3619108FD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733455" y="103250"/>
          <a:ext cx="3394046" cy="1020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130160</xdr:colOff>
      <xdr:row>2</xdr:row>
      <xdr:rowOff>48530</xdr:rowOff>
    </xdr:from>
    <xdr:to>
      <xdr:col>2</xdr:col>
      <xdr:colOff>925412</xdr:colOff>
      <xdr:row>3</xdr:row>
      <xdr:rowOff>504551</xdr:rowOff>
    </xdr:to>
    <xdr:pic>
      <xdr:nvPicPr>
        <xdr:cNvPr id="56" name="Picture 1">
          <a:extLst>
            <a:ext uri="{FF2B5EF4-FFF2-40B4-BE49-F238E27FC236}">
              <a16:creationId xmlns:a16="http://schemas.microsoft.com/office/drawing/2014/main" id="{DDAC1590-131A-BA42-A375-0937BE9B4B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24767" y="456744"/>
          <a:ext cx="1818963" cy="717732"/>
        </a:xfrm>
        <a:prstGeom prst="rect">
          <a:avLst/>
        </a:prstGeom>
      </xdr:spPr>
    </xdr:pic>
    <xdr:clientData/>
  </xdr:twoCellAnchor>
  <xdr:twoCellAnchor editAs="oneCell">
    <xdr:from>
      <xdr:col>8</xdr:col>
      <xdr:colOff>19051</xdr:colOff>
      <xdr:row>2</xdr:row>
      <xdr:rowOff>45355</xdr:rowOff>
    </xdr:from>
    <xdr:to>
      <xdr:col>10</xdr:col>
      <xdr:colOff>321644</xdr:colOff>
      <xdr:row>3</xdr:row>
      <xdr:rowOff>507726</xdr:rowOff>
    </xdr:to>
    <xdr:pic>
      <xdr:nvPicPr>
        <xdr:cNvPr id="54" name="Picture 2" descr="Government of Germany, Federal Ministry for the Environment, Climate  Action, Nature Conservation and Nuclear Safety (BMUKN) | International  Institute for Sustainable Development">
          <a:extLst>
            <a:ext uri="{FF2B5EF4-FFF2-40B4-BE49-F238E27FC236}">
              <a16:creationId xmlns:a16="http://schemas.microsoft.com/office/drawing/2014/main" id="{B793E0DF-9A8A-5B95-8552-339B0BA29256}"/>
            </a:ext>
          </a:extLst>
        </xdr:cNvPr>
        <xdr:cNvPicPr>
          <a:picLocks noChangeAspect="1" noChangeArrowheads="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l="4572" t="25737" r="4445" b="24537"/>
        <a:stretch>
          <a:fillRect/>
        </a:stretch>
      </xdr:blipFill>
      <xdr:spPr bwMode="auto">
        <a:xfrm>
          <a:off x="7600951" y="445405"/>
          <a:ext cx="2370588" cy="716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711653</xdr:colOff>
      <xdr:row>2</xdr:row>
      <xdr:rowOff>48530</xdr:rowOff>
    </xdr:from>
    <xdr:to>
      <xdr:col>11</xdr:col>
      <xdr:colOff>1084981</xdr:colOff>
      <xdr:row>3</xdr:row>
      <xdr:rowOff>504551</xdr:rowOff>
    </xdr:to>
    <xdr:pic>
      <xdr:nvPicPr>
        <xdr:cNvPr id="53" name="Picture 4" descr="The IKI – a retrospective | Internationale Klimaschutzinitiative (IKI)">
          <a:extLst>
            <a:ext uri="{FF2B5EF4-FFF2-40B4-BE49-F238E27FC236}">
              <a16:creationId xmlns:a16="http://schemas.microsoft.com/office/drawing/2014/main" id="{95DD62DC-2424-C5AB-1491-48C2F00FB65A}"/>
            </a:ext>
          </a:extLst>
        </xdr:cNvPr>
        <xdr:cNvPicPr>
          <a:picLocks noChangeAspect="1" noChangeArrowheads="1"/>
        </xdr:cNvPicPr>
      </xdr:nvPicPr>
      <xdr:blipFill rotWithShape="1">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l="7866" t="10790" r="8041" b="13679"/>
        <a:stretch>
          <a:fillRect/>
        </a:stretch>
      </xdr:blipFill>
      <xdr:spPr bwMode="auto">
        <a:xfrm>
          <a:off x="10350953" y="448580"/>
          <a:ext cx="1402027" cy="716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370677</xdr:colOff>
      <xdr:row>2</xdr:row>
      <xdr:rowOff>45355</xdr:rowOff>
    </xdr:from>
    <xdr:to>
      <xdr:col>5</xdr:col>
      <xdr:colOff>822214</xdr:colOff>
      <xdr:row>3</xdr:row>
      <xdr:rowOff>507726</xdr:rowOff>
    </xdr:to>
    <xdr:pic>
      <xdr:nvPicPr>
        <xdr:cNvPr id="55" name="Picture 3" descr="WAA">
          <a:extLst>
            <a:ext uri="{FF2B5EF4-FFF2-40B4-BE49-F238E27FC236}">
              <a16:creationId xmlns:a16="http://schemas.microsoft.com/office/drawing/2014/main" id="{CC2EA83F-72F6-3E1C-2D8B-61EE1471CCB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638534" y="444498"/>
          <a:ext cx="2287787" cy="716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1451</xdr:colOff>
      <xdr:row>4</xdr:row>
      <xdr:rowOff>17145</xdr:rowOff>
    </xdr:from>
    <xdr:to>
      <xdr:col>5</xdr:col>
      <xdr:colOff>13522</xdr:colOff>
      <xdr:row>17</xdr:row>
      <xdr:rowOff>105345</xdr:rowOff>
    </xdr:to>
    <xdr:graphicFrame macro="">
      <xdr:nvGraphicFramePr>
        <xdr:cNvPr id="48" name="Chart 1">
          <a:extLst>
            <a:ext uri="{FF2B5EF4-FFF2-40B4-BE49-F238E27FC236}">
              <a16:creationId xmlns:a16="http://schemas.microsoft.com/office/drawing/2014/main" id="{C0AD3EF8-AD64-5189-0DDD-F63079E2C2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11429</xdr:colOff>
      <xdr:row>26</xdr:row>
      <xdr:rowOff>203199</xdr:rowOff>
    </xdr:from>
    <xdr:to>
      <xdr:col>3</xdr:col>
      <xdr:colOff>332879</xdr:colOff>
      <xdr:row>40</xdr:row>
      <xdr:rowOff>69149</xdr:rowOff>
    </xdr:to>
    <xdr:graphicFrame macro="">
      <xdr:nvGraphicFramePr>
        <xdr:cNvPr id="3" name="Chart 4">
          <a:extLst>
            <a:ext uri="{FF2B5EF4-FFF2-40B4-BE49-F238E27FC236}">
              <a16:creationId xmlns:a16="http://schemas.microsoft.com/office/drawing/2014/main" id="{0B3AB0C8-D5C6-D9AF-F6E4-7DF27C0F85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471975</xdr:colOff>
      <xdr:row>26</xdr:row>
      <xdr:rowOff>200024</xdr:rowOff>
    </xdr:from>
    <xdr:to>
      <xdr:col>5</xdr:col>
      <xdr:colOff>323546</xdr:colOff>
      <xdr:row>40</xdr:row>
      <xdr:rowOff>69149</xdr:rowOff>
    </xdr:to>
    <xdr:graphicFrame macro="">
      <xdr:nvGraphicFramePr>
        <xdr:cNvPr id="65" name="Chart 6">
          <a:extLst>
            <a:ext uri="{FF2B5EF4-FFF2-40B4-BE49-F238E27FC236}">
              <a16:creationId xmlns:a16="http://schemas.microsoft.com/office/drawing/2014/main" id="{301A33D3-0AAD-D3C7-F633-FB35361302A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462643</xdr:colOff>
      <xdr:row>26</xdr:row>
      <xdr:rowOff>203199</xdr:rowOff>
    </xdr:from>
    <xdr:to>
      <xdr:col>8</xdr:col>
      <xdr:colOff>1170439</xdr:colOff>
      <xdr:row>40</xdr:row>
      <xdr:rowOff>69149</xdr:rowOff>
    </xdr:to>
    <xdr:graphicFrame macro="">
      <xdr:nvGraphicFramePr>
        <xdr:cNvPr id="47" name="Chart 7">
          <a:extLst>
            <a:ext uri="{FF2B5EF4-FFF2-40B4-BE49-F238E27FC236}">
              <a16:creationId xmlns:a16="http://schemas.microsoft.com/office/drawing/2014/main" id="{D95E7810-210F-FD0C-BEB7-3B7B375F600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15874</xdr:colOff>
      <xdr:row>54</xdr:row>
      <xdr:rowOff>31748</xdr:rowOff>
    </xdr:from>
    <xdr:to>
      <xdr:col>5</xdr:col>
      <xdr:colOff>27945</xdr:colOff>
      <xdr:row>70</xdr:row>
      <xdr:rowOff>44891</xdr:rowOff>
    </xdr:to>
    <xdr:graphicFrame macro="">
      <xdr:nvGraphicFramePr>
        <xdr:cNvPr id="46" name="Chart 1">
          <a:extLst>
            <a:ext uri="{FF2B5EF4-FFF2-40B4-BE49-F238E27FC236}">
              <a16:creationId xmlns:a16="http://schemas.microsoft.com/office/drawing/2014/main" id="{6D5D1329-9EF1-5D3E-1D98-24D740720D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11760</xdr:colOff>
      <xdr:row>6</xdr:row>
      <xdr:rowOff>5880</xdr:rowOff>
    </xdr:from>
    <xdr:to>
      <xdr:col>4</xdr:col>
      <xdr:colOff>275322</xdr:colOff>
      <xdr:row>7</xdr:row>
      <xdr:rowOff>11434</xdr:rowOff>
    </xdr:to>
    <xdr:pic>
      <xdr:nvPicPr>
        <xdr:cNvPr id="2" name="Picture 1" descr="Touchscreen with solid fill">
          <a:extLst>
            <a:ext uri="{FF2B5EF4-FFF2-40B4-BE49-F238E27FC236}">
              <a16:creationId xmlns:a16="http://schemas.microsoft.com/office/drawing/2014/main" id="{EBC3A021-BC27-7018-6A16-D560138F57F1}"/>
            </a:ext>
          </a:extLst>
        </xdr:cNvPr>
        <xdr:cNvPicPr>
          <a:picLocks noChangeAspect="1"/>
        </xdr:cNvPicPr>
      </xdr:nvPicPr>
      <xdr:blipFill>
        <a:blip xmlns:r="http://schemas.openxmlformats.org/officeDocument/2006/relationships" r:embed="rId1"/>
        <a:stretch>
          <a:fillRect/>
        </a:stretch>
      </xdr:blipFill>
      <xdr:spPr>
        <a:xfrm>
          <a:off x="6596945" y="2122547"/>
          <a:ext cx="266737" cy="19052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3111500</xdr:colOff>
      <xdr:row>9</xdr:row>
      <xdr:rowOff>25883</xdr:rowOff>
    </xdr:from>
    <xdr:to>
      <xdr:col>2</xdr:col>
      <xdr:colOff>3438572</xdr:colOff>
      <xdr:row>9</xdr:row>
      <xdr:rowOff>352955</xdr:rowOff>
    </xdr:to>
    <xdr:pic>
      <xdr:nvPicPr>
        <xdr:cNvPr id="5" name="Picture 1" descr="Touchscreen with solid fill">
          <a:extLst>
            <a:ext uri="{FF2B5EF4-FFF2-40B4-BE49-F238E27FC236}">
              <a16:creationId xmlns:a16="http://schemas.microsoft.com/office/drawing/2014/main" id="{2DA4FD4A-A0FB-7F38-6C9B-31B69253E3B2}"/>
            </a:ext>
          </a:extLst>
        </xdr:cNvPr>
        <xdr:cNvPicPr>
          <a:picLocks noChangeAspect="1"/>
        </xdr:cNvPicPr>
      </xdr:nvPicPr>
      <xdr:blipFill>
        <a:blip xmlns:r="http://schemas.openxmlformats.org/officeDocument/2006/relationships" r:embed="rId1"/>
        <a:stretch>
          <a:fillRect/>
        </a:stretch>
      </xdr:blipFill>
      <xdr:spPr>
        <a:xfrm>
          <a:off x="3571875" y="2899258"/>
          <a:ext cx="333422" cy="3302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climatefocusglobal.sharepoint.com/sites/Total-Art6.4AfricanCountriesProposal/Gedeelde%20documenten/General/Evaluation%20matrix/Evaluation%20matrix%20V%203.1%20-%20Rapid%20prioritization%20-%20Total%20energies.xlsx" TargetMode="External"/><Relationship Id="rId1" Type="http://schemas.openxmlformats.org/officeDocument/2006/relationships/externalLinkPath" Target="https://climatefocusglobal.sharepoint.com/sites/Total-Art6.4AfricanCountriesProposal/Gedeelde%20documenten/General/Evaluation%20matrix/Evaluation%20matrix%20V%203.1%20-%20Rapid%20prioritization%20-%20Total%20energies.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climatefocusglobal.sharepoint.com/Users/szymonmikolajczyk/Desktop/Carbon%20Markets%20Geography%20Screening%20Tool%20SF%20v1.1.xlsx" TargetMode="External"/><Relationship Id="rId1" Type="http://schemas.openxmlformats.org/officeDocument/2006/relationships/externalLinkPath" Target="https://climatefocusglobal.sharepoint.com/sites/SFStrategy2032/Gedeelde%20documenten/Draft%20report/03.%20Draft%20Report/01%20Technology%20screening%20tool/Carbon%20Markets%20Geography%20Screening%20Tool%20SF%20v1.1.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climatefocusglobal.sharepoint.com/sites/SFStrategy2032/Gedeelde%20documenten/Draft%20report/03.%20Draft%20Report/01%20Technology%20screening%20tool/Carbon%20Markets%20Solutions%20Screening%20Tool%20SF%20v1.1.xlsx" TargetMode="External"/><Relationship Id="rId1" Type="http://schemas.openxmlformats.org/officeDocument/2006/relationships/externalLinkPath" Target="https://climatefocusglobal.sharepoint.com/sites/SFStrategy2032/Gedeelde%20documenten/Draft%20report/03.%20Draft%20Report/01%20Technology%20screening%20tool/Carbon%20Markets%20Solutions%20Screening%20Tool%20SF%20v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shboard"/>
      <sheetName val="1. Raw matrix"/>
      <sheetName val="2. Normalized matrix"/>
      <sheetName val="3. Evaluation matrix"/>
      <sheetName val="TotalEnergies Countries"/>
      <sheetName val="World population data"/>
      <sheetName val="Adopted framework (raw)"/>
      <sheetName val="Adopted framework harmonized"/>
      <sheetName val="Ease of Doing Business"/>
      <sheetName val="fNRB A6.4 MEP"/>
      <sheetName val="Corruption"/>
      <sheetName val="Clean cooking access"/>
      <sheetName val="A6.4 readiness"/>
      <sheetName val="Safety"/>
      <sheetName val="Support tables"/>
    </sheetNames>
    <sheetDataSet>
      <sheetData sheetId="0">
        <row r="5">
          <cell r="E5" t="str">
            <v>No min set</v>
          </cell>
        </row>
        <row r="6">
          <cell r="D6">
            <v>1</v>
          </cell>
          <cell r="E6" t="str">
            <v>No min set</v>
          </cell>
        </row>
        <row r="7">
          <cell r="E7" t="str">
            <v>No min set</v>
          </cell>
        </row>
        <row r="8">
          <cell r="D8">
            <v>1</v>
          </cell>
          <cell r="E8" t="str">
            <v>No min set</v>
          </cell>
        </row>
        <row r="9">
          <cell r="D9">
            <v>1</v>
          </cell>
          <cell r="E9" t="str">
            <v>No min set</v>
          </cell>
        </row>
        <row r="10">
          <cell r="D10">
            <v>1</v>
          </cell>
          <cell r="E10" t="str">
            <v>No min set</v>
          </cell>
        </row>
        <row r="11">
          <cell r="D11">
            <v>1</v>
          </cell>
          <cell r="E11" t="str">
            <v>No min set</v>
          </cell>
        </row>
        <row r="29">
          <cell r="C29" t="str">
            <v>Adopted legal or policy framework for carbon
markets</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Ranking"/>
      <sheetName val="1.1 Carbon market policy"/>
      <sheetName val="1.2 Maturity of BAs"/>
      <sheetName val="1.3 Article 6 readiness"/>
      <sheetName val="1.4 VCM readiness"/>
      <sheetName val="1.5 Regulatory stability"/>
      <sheetName val="Annex_Raw matrix"/>
      <sheetName val="Annex_Normalized matrix"/>
      <sheetName val="Annex_Evaluation matrix"/>
      <sheetName val="Support tables"/>
    </sheetNames>
    <sheetDataSet>
      <sheetData sheetId="0"/>
      <sheetData sheetId="1"/>
      <sheetData sheetId="2"/>
      <sheetData sheetId="3"/>
      <sheetData sheetId="4"/>
      <sheetData sheetId="5"/>
      <sheetData sheetId="6"/>
      <sheetData sheetId="7"/>
      <sheetData sheetId="8"/>
      <sheetData sheetId="9"/>
      <sheetData sheetId="10">
        <row r="13">
          <cell r="C13">
            <v>1</v>
          </cell>
        </row>
        <row r="14">
          <cell r="C14">
            <v>1</v>
          </cell>
        </row>
        <row r="15">
          <cell r="C15">
            <v>1</v>
          </cell>
        </row>
        <row r="16">
          <cell r="C16">
            <v>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Ranking"/>
      <sheetName val="1.1 Methodology readiness"/>
      <sheetName val="1.2 Additionality"/>
      <sheetName val="1.3 Environmental integrity"/>
      <sheetName val="1.4 Carbon finance case"/>
      <sheetName val="1.3 SF analysis"/>
      <sheetName val="1.5 Customer impact"/>
      <sheetName val="Annex_Longlist solutions"/>
      <sheetName val="Annex_Final shortlist"/>
      <sheetName val="Annex_Evaluation matrix"/>
      <sheetName val="Support tables"/>
    </sheetNames>
    <sheetDataSet>
      <sheetData sheetId="0" refreshError="1"/>
      <sheetData sheetId="1">
        <row r="4">
          <cell r="E4" t="str">
            <v>Only carbon market indicators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D4B17BB-6260-AA41-BCCA-EDF124564FAF}" name="tblPreset" displayName="tblPreset" ref="A1:L108" totalsRowShown="0" headerRowDxfId="16" dataDxfId="14" headerRowBorderDxfId="15" tableBorderDxfId="13" totalsRowBorderDxfId="12" dataCellStyle="Normal 2">
  <autoFilter ref="A1:L108" xr:uid="{9D4B17BB-6260-AA41-BCCA-EDF124564FAF}"/>
  <tableColumns count="12">
    <tableColumn id="1" xr3:uid="{0ED3C76E-5894-FA4C-8B61-5FA9B4636A56}" name="Country" dataDxfId="11" dataCellStyle="Normal 2"/>
    <tableColumn id="2" xr3:uid="{AEB214AC-37A8-2047-A3B2-CA1D440F5C66}" name="Sector" dataDxfId="10" dataCellStyle="Normal 2"/>
    <tableColumn id="3" xr3:uid="{563E5E96-C2DF-5444-829A-1AFF332DA5D6}" name="Fee_Name" dataDxfId="9" dataCellStyle="Normal 2"/>
    <tableColumn id="22" xr3:uid="{3E78FEC7-704A-E944-B664-E65DF0D1AAA7}" name="Fee_Group" dataDxfId="8" dataCellStyle="Normal 2"/>
    <tableColumn id="23" xr3:uid="{85A56396-04FB-D24D-BABE-8D9F20D02FE5}" name="Applies_To" dataDxfId="7" dataCellStyle="Normal 2"/>
    <tableColumn id="4" xr3:uid="{0334000D-E6D5-0E42-9EEC-93B79CEE1E2B}" name="Activity_Category" dataDxfId="6" dataCellStyle="Normal 2"/>
    <tableColumn id="24" xr3:uid="{628D4EF5-C4E7-1944-8030-A2B32D8BF5FE}" name="Pathway" dataDxfId="5" dataCellStyle="Normal 2"/>
    <tableColumn id="19" xr3:uid="{DC990F7C-406E-0E4E-AE18-703D4977E6ED}" name="Fee_Type" dataDxfId="4" dataCellStyle="Normal 2"/>
    <tableColumn id="5" xr3:uid="{68925C1D-1C40-C248-BEFF-D17D291EDDC6}" name="Rate_or_Amount" dataDxfId="3" dataCellStyle="Normal 2"/>
    <tableColumn id="18" xr3:uid="{7C6D4B88-2D79-0D45-B81E-6E0D1B802B13}" name="Notes" dataDxfId="2" dataCellStyle="Normal 2"/>
    <tableColumn id="16" xr3:uid="{E01C2A30-1F5B-434F-880C-481C15847058}" name="Unit" dataDxfId="1" dataCellStyle="Normal 2"/>
    <tableColumn id="21" xr3:uid="{133509D7-5FD7-3642-BDBD-4EDDE5E31207}" name="Legal_Source" dataDxfId="0" dataCellStyle="Normal 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Yucatan">
      <a:dk1>
        <a:srgbClr val="333333"/>
      </a:dk1>
      <a:lt1>
        <a:srgbClr val="FFFFFF"/>
      </a:lt1>
      <a:dk2>
        <a:srgbClr val="384087"/>
      </a:dk2>
      <a:lt2>
        <a:srgbClr val="F9F9F9"/>
      </a:lt2>
      <a:accent1>
        <a:srgbClr val="1E6D83"/>
      </a:accent1>
      <a:accent2>
        <a:srgbClr val="0088A6"/>
      </a:accent2>
      <a:accent3>
        <a:srgbClr val="28B6BE"/>
      </a:accent3>
      <a:accent4>
        <a:srgbClr val="384087"/>
      </a:accent4>
      <a:accent5>
        <a:srgbClr val="4176B4"/>
      </a:accent5>
      <a:accent6>
        <a:srgbClr val="E97959"/>
      </a:accent6>
      <a:hlink>
        <a:srgbClr val="4176B4"/>
      </a:hlink>
      <a:folHlink>
        <a:srgbClr val="1E6D83"/>
      </a:folHlink>
    </a:clrScheme>
    <a:fontScheme name="Climate Focu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bin"/><Relationship Id="rId1" Type="http://schemas.openxmlformats.org/officeDocument/2006/relationships/hyperlink" Target="https://commission.europa.eu/funding-tenders/procedures-guidelines-tenders/information-contractors-and-beneficiaries/exchange-rate-inforeuro_en"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1FFA7-AA61-4930-87DD-D65E60897B84}">
  <dimension ref="A1:AD69"/>
  <sheetViews>
    <sheetView showGridLines="0" tabSelected="1" zoomScale="94" zoomScaleNormal="70" workbookViewId="0"/>
  </sheetViews>
  <sheetFormatPr baseColWidth="10" defaultColWidth="9.7109375" defaultRowHeight="14" x14ac:dyDescent="0.15"/>
  <cols>
    <col min="1" max="16384" width="9.7109375" style="564"/>
  </cols>
  <sheetData>
    <row r="1" spans="1:30" ht="105" customHeight="1" x14ac:dyDescent="0.15">
      <c r="A1" s="579"/>
      <c r="B1" s="579"/>
      <c r="C1" s="579"/>
      <c r="D1" s="579"/>
      <c r="E1" s="579"/>
      <c r="F1" s="579"/>
      <c r="G1" s="586"/>
      <c r="H1" s="586"/>
      <c r="I1" s="579"/>
      <c r="J1" s="586" t="s">
        <v>0</v>
      </c>
      <c r="K1" s="586"/>
      <c r="L1" s="579"/>
      <c r="M1" s="579"/>
      <c r="N1" s="579"/>
      <c r="O1" s="579"/>
      <c r="P1" s="579"/>
      <c r="Q1" s="579"/>
      <c r="R1" s="579"/>
      <c r="S1" s="579"/>
      <c r="T1" s="579"/>
      <c r="U1" s="579"/>
      <c r="V1" s="579"/>
      <c r="W1" s="579"/>
      <c r="X1" s="579"/>
      <c r="Y1" s="579"/>
      <c r="Z1" s="579"/>
      <c r="AA1" s="579"/>
      <c r="AB1" s="579"/>
      <c r="AC1" s="579"/>
      <c r="AD1" s="579"/>
    </row>
    <row r="2" spans="1:30" ht="16" x14ac:dyDescent="0.2">
      <c r="A2" s="569"/>
      <c r="B2" s="569"/>
      <c r="C2" s="569"/>
      <c r="D2" s="569"/>
      <c r="E2" s="569"/>
      <c r="F2" s="569"/>
      <c r="G2" s="569"/>
      <c r="H2" s="569"/>
      <c r="I2" s="569"/>
      <c r="J2" s="569"/>
      <c r="K2" s="569"/>
      <c r="L2" s="569"/>
      <c r="M2" s="569"/>
      <c r="N2" s="570"/>
      <c r="O2" s="570"/>
      <c r="P2" s="570"/>
      <c r="Q2" s="570"/>
      <c r="R2" s="570"/>
      <c r="S2" s="570"/>
      <c r="T2" s="570"/>
      <c r="U2" s="570"/>
      <c r="V2" s="570"/>
      <c r="W2" s="570"/>
      <c r="X2" s="570"/>
      <c r="Y2" s="570"/>
      <c r="Z2" s="570"/>
      <c r="AA2" s="570"/>
      <c r="AB2" s="570"/>
      <c r="AC2" s="570"/>
      <c r="AD2" s="570"/>
    </row>
    <row r="3" spans="1:30" ht="16" x14ac:dyDescent="0.2">
      <c r="A3" s="569"/>
      <c r="B3" s="569"/>
      <c r="C3" s="569"/>
      <c r="D3" s="569"/>
      <c r="E3" s="569"/>
      <c r="F3" s="569"/>
      <c r="G3" s="569"/>
      <c r="H3" s="569"/>
      <c r="I3" s="569"/>
      <c r="J3" s="569"/>
      <c r="K3" s="569"/>
      <c r="L3" s="569"/>
      <c r="M3" s="569"/>
      <c r="N3" s="570"/>
      <c r="O3" s="570"/>
      <c r="P3" s="570"/>
      <c r="Q3" s="570"/>
      <c r="R3" s="570"/>
      <c r="S3" s="570"/>
      <c r="T3" s="570"/>
      <c r="U3" s="570"/>
      <c r="V3" s="570"/>
      <c r="W3" s="570"/>
      <c r="X3" s="570"/>
      <c r="Y3" s="570"/>
      <c r="Z3" s="570"/>
      <c r="AA3" s="570"/>
      <c r="AB3" s="570"/>
      <c r="AC3" s="570"/>
      <c r="AD3" s="570"/>
    </row>
    <row r="4" spans="1:30" ht="16" x14ac:dyDescent="0.2">
      <c r="A4" s="569"/>
      <c r="B4" s="571"/>
      <c r="C4" s="569"/>
      <c r="D4" s="569"/>
      <c r="E4" s="572"/>
      <c r="F4" s="569"/>
      <c r="G4" s="573"/>
      <c r="H4" s="569"/>
      <c r="I4" s="569"/>
      <c r="J4" s="569"/>
      <c r="K4" s="569"/>
      <c r="L4" s="569"/>
      <c r="M4" s="569"/>
      <c r="N4" s="570"/>
      <c r="O4" s="570"/>
      <c r="P4" s="570"/>
      <c r="Q4" s="570"/>
      <c r="R4" s="570"/>
      <c r="S4" s="570"/>
      <c r="T4" s="570"/>
      <c r="U4" s="570"/>
      <c r="V4" s="570"/>
      <c r="W4" s="570"/>
      <c r="X4" s="570"/>
      <c r="Y4" s="570"/>
      <c r="Z4" s="570"/>
      <c r="AA4" s="570"/>
      <c r="AB4" s="570"/>
      <c r="AC4" s="570"/>
      <c r="AD4" s="570"/>
    </row>
    <row r="5" spans="1:30" x14ac:dyDescent="0.15">
      <c r="A5" s="570"/>
      <c r="B5" s="570"/>
      <c r="C5" s="570"/>
      <c r="D5" s="570"/>
      <c r="E5" s="570"/>
      <c r="F5" s="570"/>
      <c r="G5" s="570"/>
      <c r="H5" s="570"/>
      <c r="I5" s="570"/>
      <c r="J5" s="570"/>
      <c r="K5" s="570"/>
      <c r="L5" s="570"/>
      <c r="M5" s="570"/>
      <c r="N5" s="570"/>
      <c r="O5" s="570"/>
      <c r="P5" s="570"/>
      <c r="Q5" s="570"/>
      <c r="R5" s="570"/>
      <c r="S5" s="570"/>
      <c r="T5" s="570"/>
      <c r="U5" s="570"/>
      <c r="V5" s="570"/>
      <c r="W5" s="570"/>
      <c r="X5" s="570"/>
      <c r="Y5" s="570"/>
      <c r="Z5" s="570"/>
      <c r="AA5" s="570"/>
      <c r="AB5" s="570"/>
      <c r="AC5" s="570"/>
      <c r="AD5" s="570"/>
    </row>
    <row r="6" spans="1:30" x14ac:dyDescent="0.15">
      <c r="A6" s="570"/>
      <c r="B6" s="570"/>
      <c r="C6" s="570"/>
      <c r="D6" s="570"/>
      <c r="E6" s="570"/>
      <c r="F6" s="570"/>
      <c r="G6" s="570"/>
      <c r="H6" s="570"/>
      <c r="I6" s="570"/>
      <c r="J6" s="570"/>
      <c r="K6" s="570"/>
      <c r="L6" s="570"/>
      <c r="M6" s="570"/>
      <c r="N6" s="570"/>
      <c r="O6" s="570"/>
      <c r="P6" s="570"/>
      <c r="Q6" s="570"/>
      <c r="R6" s="570"/>
      <c r="S6" s="570"/>
      <c r="T6" s="570"/>
      <c r="U6" s="570"/>
      <c r="V6" s="570"/>
      <c r="W6" s="570"/>
      <c r="X6" s="570"/>
      <c r="Y6" s="570"/>
      <c r="Z6" s="570"/>
      <c r="AA6" s="570"/>
      <c r="AB6" s="570"/>
      <c r="AC6" s="570"/>
      <c r="AD6" s="570"/>
    </row>
    <row r="7" spans="1:30" x14ac:dyDescent="0.15">
      <c r="A7" s="570"/>
      <c r="B7" s="570"/>
      <c r="C7" s="574"/>
      <c r="D7" s="570"/>
      <c r="E7" s="570"/>
      <c r="F7" s="570"/>
      <c r="G7" s="570"/>
      <c r="H7" s="570"/>
      <c r="I7" s="570"/>
      <c r="J7" s="570"/>
      <c r="K7" s="570"/>
      <c r="L7" s="570"/>
      <c r="M7" s="570"/>
      <c r="N7" s="570"/>
      <c r="O7" s="570"/>
      <c r="P7" s="570"/>
      <c r="Q7" s="570"/>
      <c r="R7" s="570"/>
      <c r="S7" s="570"/>
      <c r="T7" s="570"/>
      <c r="U7" s="570"/>
      <c r="V7" s="570"/>
      <c r="W7" s="570"/>
      <c r="X7" s="570"/>
      <c r="Y7" s="570"/>
      <c r="Z7" s="570"/>
      <c r="AA7" s="570"/>
      <c r="AB7" s="570"/>
      <c r="AC7" s="570"/>
      <c r="AD7" s="570"/>
    </row>
    <row r="8" spans="1:30" x14ac:dyDescent="0.15">
      <c r="A8" s="570"/>
      <c r="B8" s="570"/>
      <c r="C8" s="570"/>
      <c r="D8" s="570"/>
      <c r="E8" s="570"/>
      <c r="F8" s="570"/>
      <c r="G8" s="570"/>
      <c r="H8" s="570"/>
      <c r="I8" s="570"/>
      <c r="J8" s="570"/>
      <c r="K8" s="570"/>
      <c r="L8" s="570"/>
      <c r="M8" s="570"/>
      <c r="N8" s="570"/>
      <c r="O8" s="570"/>
      <c r="P8" s="570"/>
      <c r="Q8" s="570"/>
      <c r="R8" s="570"/>
      <c r="S8" s="570"/>
      <c r="T8" s="570"/>
      <c r="U8" s="570"/>
      <c r="V8" s="570"/>
      <c r="W8" s="570"/>
      <c r="X8" s="570"/>
      <c r="Y8" s="570"/>
      <c r="Z8" s="570"/>
      <c r="AA8" s="570"/>
      <c r="AB8" s="570"/>
      <c r="AC8" s="570"/>
      <c r="AD8" s="570"/>
    </row>
    <row r="9" spans="1:30" ht="49.5" customHeight="1" x14ac:dyDescent="0.45">
      <c r="A9" s="570"/>
      <c r="B9" s="587" t="s">
        <v>3</v>
      </c>
      <c r="C9" s="587"/>
      <c r="D9" s="587"/>
      <c r="E9" s="587"/>
      <c r="F9" s="587"/>
      <c r="G9" s="587"/>
      <c r="H9" s="587"/>
      <c r="I9" s="587"/>
      <c r="J9" s="587"/>
      <c r="K9" s="587"/>
      <c r="L9" s="587"/>
      <c r="M9" s="587"/>
      <c r="N9" s="587"/>
      <c r="O9" s="587"/>
      <c r="P9" s="587"/>
      <c r="Q9" s="565"/>
      <c r="R9" s="565"/>
      <c r="S9" s="566"/>
      <c r="T9" s="566"/>
      <c r="U9" s="566"/>
      <c r="V9" s="566"/>
      <c r="W9" s="566"/>
      <c r="X9" s="566"/>
      <c r="Y9" s="566"/>
      <c r="Z9" s="566"/>
      <c r="AA9" s="570"/>
      <c r="AB9" s="570"/>
      <c r="AC9" s="570"/>
      <c r="AD9" s="570"/>
    </row>
    <row r="10" spans="1:30" ht="49" customHeight="1" x14ac:dyDescent="0.4">
      <c r="A10" s="570"/>
      <c r="B10" s="587"/>
      <c r="C10" s="587"/>
      <c r="D10" s="587"/>
      <c r="E10" s="587"/>
      <c r="F10" s="587"/>
      <c r="G10" s="587"/>
      <c r="H10" s="587"/>
      <c r="I10" s="587"/>
      <c r="J10" s="587"/>
      <c r="K10" s="587"/>
      <c r="L10" s="587"/>
      <c r="M10" s="587"/>
      <c r="N10" s="587"/>
      <c r="O10" s="587"/>
      <c r="P10" s="587"/>
      <c r="Q10" s="567"/>
      <c r="R10" s="567"/>
      <c r="S10" s="568"/>
      <c r="T10" s="568"/>
      <c r="U10" s="568"/>
      <c r="V10" s="568"/>
      <c r="W10" s="568"/>
      <c r="X10" s="568"/>
      <c r="Y10" s="568"/>
      <c r="Z10" s="568"/>
      <c r="AA10" s="570"/>
      <c r="AB10" s="570"/>
      <c r="AC10" s="570"/>
      <c r="AD10" s="570"/>
    </row>
    <row r="11" spans="1:30" x14ac:dyDescent="0.15">
      <c r="A11" s="570"/>
      <c r="B11" s="570"/>
      <c r="C11" s="570"/>
      <c r="D11" s="570"/>
      <c r="E11" s="570"/>
      <c r="F11" s="570"/>
      <c r="G11" s="570"/>
      <c r="H11" s="570"/>
      <c r="I11" s="570"/>
      <c r="J11" s="570"/>
      <c r="K11" s="570"/>
      <c r="L11" s="570"/>
      <c r="M11" s="570"/>
      <c r="N11" s="570"/>
      <c r="O11" s="570"/>
      <c r="P11" s="570"/>
      <c r="Q11" s="570"/>
      <c r="R11" s="570"/>
      <c r="S11" s="570"/>
      <c r="T11" s="570"/>
      <c r="U11" s="570"/>
      <c r="V11" s="570"/>
      <c r="W11" s="570"/>
      <c r="X11" s="570"/>
      <c r="Y11" s="570"/>
      <c r="Z11" s="570"/>
      <c r="AA11" s="570"/>
      <c r="AB11" s="570"/>
      <c r="AC11" s="570"/>
      <c r="AD11" s="570"/>
    </row>
    <row r="12" spans="1:30" x14ac:dyDescent="0.15">
      <c r="A12" s="570"/>
      <c r="B12" s="570"/>
      <c r="C12" s="570"/>
      <c r="D12" s="570"/>
      <c r="E12" s="570"/>
      <c r="F12" s="570"/>
      <c r="G12" s="570"/>
      <c r="H12" s="570"/>
      <c r="I12" s="570"/>
      <c r="J12" s="570"/>
      <c r="K12" s="570"/>
      <c r="L12" s="570"/>
      <c r="M12" s="570"/>
      <c r="N12" s="570"/>
      <c r="O12" s="570"/>
      <c r="P12" s="570"/>
      <c r="Q12" s="570"/>
      <c r="R12" s="570"/>
      <c r="S12" s="570"/>
      <c r="T12" s="570"/>
      <c r="U12" s="570"/>
      <c r="V12" s="570"/>
      <c r="W12" s="570"/>
      <c r="X12" s="570"/>
      <c r="Y12" s="570"/>
      <c r="Z12" s="570"/>
      <c r="AA12" s="570"/>
      <c r="AB12" s="570"/>
      <c r="AC12" s="570"/>
      <c r="AD12" s="570"/>
    </row>
    <row r="13" spans="1:30" ht="37.5" customHeight="1" x14ac:dyDescent="0.15">
      <c r="A13" s="570"/>
      <c r="B13" s="588" t="s">
        <v>4</v>
      </c>
      <c r="C13" s="588"/>
      <c r="D13" s="588"/>
      <c r="E13" s="588"/>
      <c r="F13" s="588"/>
      <c r="G13" s="588"/>
      <c r="H13" s="588"/>
      <c r="I13" s="588"/>
      <c r="J13" s="588"/>
      <c r="K13" s="588"/>
      <c r="L13" s="588"/>
      <c r="M13" s="588"/>
      <c r="N13" s="588"/>
      <c r="O13" s="588"/>
      <c r="P13" s="588"/>
      <c r="Q13" s="570"/>
      <c r="R13" s="570"/>
      <c r="S13" s="570"/>
      <c r="T13" s="570"/>
      <c r="U13" s="570"/>
      <c r="V13" s="570"/>
      <c r="W13" s="570"/>
      <c r="X13" s="570"/>
      <c r="Y13" s="570"/>
      <c r="Z13" s="570"/>
      <c r="AA13" s="570"/>
      <c r="AB13" s="570"/>
      <c r="AC13" s="570"/>
      <c r="AD13" s="570"/>
    </row>
    <row r="14" spans="1:30" ht="37.5" customHeight="1" x14ac:dyDescent="0.15">
      <c r="A14" s="570"/>
      <c r="B14" s="588"/>
      <c r="C14" s="588"/>
      <c r="D14" s="588"/>
      <c r="E14" s="588"/>
      <c r="F14" s="588"/>
      <c r="G14" s="588"/>
      <c r="H14" s="588"/>
      <c r="I14" s="588"/>
      <c r="J14" s="588"/>
      <c r="K14" s="588"/>
      <c r="L14" s="588"/>
      <c r="M14" s="588"/>
      <c r="N14" s="588"/>
      <c r="O14" s="588"/>
      <c r="P14" s="588"/>
      <c r="Q14" s="570"/>
      <c r="R14" s="570"/>
      <c r="S14" s="570"/>
      <c r="T14" s="570"/>
      <c r="U14" s="570"/>
      <c r="V14" s="570"/>
      <c r="W14" s="570"/>
      <c r="X14" s="570"/>
      <c r="Y14" s="570"/>
      <c r="Z14" s="570"/>
      <c r="AA14" s="570"/>
      <c r="AB14" s="570"/>
      <c r="AC14" s="570"/>
      <c r="AD14" s="570"/>
    </row>
    <row r="15" spans="1:30" x14ac:dyDescent="0.15">
      <c r="A15" s="570"/>
      <c r="B15" s="570"/>
      <c r="C15" s="570"/>
      <c r="D15" s="570"/>
      <c r="E15" s="570"/>
      <c r="F15" s="570"/>
      <c r="G15" s="570"/>
      <c r="H15" s="570"/>
      <c r="I15" s="570"/>
      <c r="J15" s="570"/>
      <c r="K15" s="570"/>
      <c r="L15" s="570"/>
      <c r="M15" s="570"/>
      <c r="N15" s="570"/>
      <c r="O15" s="570"/>
      <c r="P15" s="570"/>
      <c r="Q15" s="570"/>
      <c r="R15" s="570"/>
      <c r="S15" s="570"/>
      <c r="T15" s="570"/>
      <c r="U15" s="570"/>
      <c r="V15" s="570"/>
      <c r="W15" s="570"/>
      <c r="X15" s="570"/>
      <c r="Y15" s="570"/>
      <c r="Z15" s="570"/>
      <c r="AA15" s="570"/>
      <c r="AB15" s="570"/>
      <c r="AC15" s="570"/>
      <c r="AD15" s="570"/>
    </row>
    <row r="16" spans="1:30" x14ac:dyDescent="0.15">
      <c r="A16" s="570"/>
      <c r="B16" s="570"/>
      <c r="C16" s="570"/>
      <c r="D16" s="570"/>
      <c r="E16" s="570"/>
      <c r="F16" s="570"/>
      <c r="G16" s="570"/>
      <c r="H16" s="570"/>
      <c r="I16" s="570"/>
      <c r="J16" s="570"/>
      <c r="K16" s="570"/>
      <c r="L16" s="570"/>
      <c r="M16" s="570"/>
      <c r="N16" s="570"/>
      <c r="O16" s="570"/>
      <c r="P16" s="570"/>
      <c r="Q16" s="570"/>
      <c r="R16" s="570"/>
      <c r="S16" s="570"/>
      <c r="T16" s="570"/>
      <c r="U16" s="570"/>
      <c r="V16" s="570"/>
      <c r="W16" s="570"/>
      <c r="X16" s="570"/>
      <c r="Y16" s="570"/>
      <c r="Z16" s="570"/>
      <c r="AA16" s="570"/>
      <c r="AB16" s="570"/>
      <c r="AC16" s="570"/>
      <c r="AD16" s="570"/>
    </row>
    <row r="17" spans="1:30" ht="23" x14ac:dyDescent="0.25">
      <c r="A17" s="570"/>
      <c r="B17" s="577" t="s">
        <v>815</v>
      </c>
      <c r="C17" s="570"/>
      <c r="D17" s="570"/>
      <c r="E17" s="570"/>
      <c r="F17" s="570"/>
      <c r="G17" s="570"/>
      <c r="H17" s="570"/>
      <c r="I17" s="570"/>
      <c r="J17" s="570"/>
      <c r="K17" s="570"/>
      <c r="L17" s="570"/>
      <c r="M17" s="570"/>
      <c r="N17" s="570"/>
      <c r="O17" s="570"/>
      <c r="P17" s="570"/>
      <c r="Q17" s="570"/>
      <c r="R17" s="570"/>
      <c r="S17" s="570"/>
      <c r="T17" s="570"/>
      <c r="U17" s="570"/>
      <c r="V17" s="570"/>
      <c r="W17" s="570"/>
      <c r="X17" s="570"/>
      <c r="Y17" s="570"/>
      <c r="Z17" s="570"/>
      <c r="AA17" s="570"/>
      <c r="AB17" s="570"/>
      <c r="AC17" s="570"/>
      <c r="AD17" s="570"/>
    </row>
    <row r="18" spans="1:30" ht="23" x14ac:dyDescent="0.25">
      <c r="A18" s="570"/>
      <c r="B18" s="578" t="s">
        <v>814</v>
      </c>
      <c r="C18" s="570"/>
      <c r="D18" s="570"/>
      <c r="E18" s="570"/>
      <c r="F18" s="570"/>
      <c r="G18" s="570"/>
      <c r="H18" s="570"/>
      <c r="I18" s="570"/>
      <c r="J18" s="570"/>
      <c r="K18" s="570"/>
      <c r="L18" s="570"/>
      <c r="M18" s="570"/>
      <c r="N18" s="570"/>
      <c r="O18" s="570"/>
      <c r="P18" s="570"/>
      <c r="Q18" s="570"/>
      <c r="R18" s="570"/>
      <c r="S18" s="570"/>
      <c r="T18" s="570"/>
      <c r="U18" s="570"/>
      <c r="V18" s="570"/>
      <c r="W18" s="570"/>
      <c r="X18" s="570"/>
      <c r="Y18" s="570"/>
      <c r="Z18" s="570"/>
      <c r="AA18" s="570"/>
      <c r="AB18" s="570"/>
      <c r="AC18" s="570"/>
      <c r="AD18" s="570"/>
    </row>
    <row r="19" spans="1:30" ht="23" x14ac:dyDescent="0.25">
      <c r="A19" s="570"/>
      <c r="B19" s="575"/>
      <c r="C19" s="570"/>
      <c r="D19" s="575"/>
      <c r="E19" s="570"/>
      <c r="F19" s="570"/>
      <c r="G19" s="570"/>
      <c r="H19" s="570"/>
      <c r="I19" s="570"/>
      <c r="J19" s="570"/>
      <c r="K19" s="570"/>
      <c r="L19" s="570"/>
      <c r="M19" s="570"/>
      <c r="N19" s="570"/>
      <c r="O19" s="570"/>
      <c r="P19" s="570"/>
      <c r="Q19" s="570"/>
      <c r="R19" s="570"/>
      <c r="S19" s="570"/>
      <c r="T19" s="570"/>
      <c r="U19" s="570"/>
      <c r="V19" s="570"/>
      <c r="W19" s="570"/>
      <c r="X19" s="570"/>
      <c r="Y19" s="570"/>
      <c r="Z19" s="570"/>
      <c r="AA19" s="570"/>
      <c r="AB19" s="570"/>
      <c r="AC19" s="570"/>
      <c r="AD19" s="570"/>
    </row>
    <row r="20" spans="1:30" ht="23" x14ac:dyDescent="0.25">
      <c r="A20" s="570"/>
      <c r="B20" s="575"/>
      <c r="C20" s="570"/>
      <c r="D20" s="575"/>
      <c r="E20" s="570"/>
      <c r="F20" s="570"/>
      <c r="G20" s="570"/>
      <c r="H20" s="570"/>
      <c r="I20" s="570"/>
      <c r="J20" s="570"/>
      <c r="K20" s="570"/>
      <c r="L20" s="570"/>
      <c r="M20" s="570"/>
      <c r="N20" s="570"/>
      <c r="O20" s="570"/>
      <c r="P20" s="570"/>
      <c r="Q20" s="570"/>
      <c r="R20" s="570"/>
      <c r="S20" s="570"/>
      <c r="T20" s="570"/>
      <c r="U20" s="570"/>
      <c r="V20" s="570"/>
      <c r="W20" s="570"/>
      <c r="X20" s="570"/>
      <c r="Y20" s="570"/>
      <c r="Z20" s="570"/>
      <c r="AA20" s="570"/>
      <c r="AB20" s="570"/>
      <c r="AC20" s="570"/>
      <c r="AD20" s="570"/>
    </row>
    <row r="21" spans="1:30" ht="23" x14ac:dyDescent="0.25">
      <c r="A21" s="570"/>
      <c r="B21" s="575"/>
      <c r="C21" s="575"/>
      <c r="D21" s="575"/>
      <c r="E21" s="570"/>
      <c r="F21" s="570"/>
      <c r="G21" s="570"/>
      <c r="H21" s="570"/>
      <c r="I21" s="570"/>
      <c r="J21" s="570"/>
      <c r="K21" s="570"/>
      <c r="L21" s="570"/>
      <c r="M21" s="570"/>
      <c r="N21" s="570"/>
      <c r="O21" s="570"/>
      <c r="P21" s="570"/>
      <c r="Q21" s="570"/>
      <c r="R21" s="570"/>
      <c r="S21" s="570"/>
      <c r="T21" s="570"/>
      <c r="U21" s="570"/>
      <c r="V21" s="570"/>
      <c r="W21" s="570"/>
      <c r="X21" s="570"/>
      <c r="Y21" s="570"/>
      <c r="Z21" s="570"/>
      <c r="AA21" s="570"/>
      <c r="AB21" s="570"/>
      <c r="AC21" s="570"/>
      <c r="AD21" s="570"/>
    </row>
    <row r="22" spans="1:30" x14ac:dyDescent="0.15">
      <c r="A22" s="570"/>
      <c r="B22" s="570"/>
      <c r="C22" s="576"/>
      <c r="D22" s="570"/>
      <c r="E22" s="570"/>
      <c r="F22" s="570"/>
      <c r="G22" s="570"/>
      <c r="H22" s="570"/>
      <c r="I22" s="570"/>
      <c r="J22" s="570"/>
      <c r="K22" s="570"/>
      <c r="L22" s="570"/>
      <c r="M22" s="570"/>
      <c r="N22" s="570"/>
      <c r="O22" s="570"/>
      <c r="P22" s="570"/>
      <c r="Q22" s="570"/>
      <c r="R22" s="570"/>
      <c r="S22" s="570"/>
      <c r="T22" s="570"/>
      <c r="U22" s="570"/>
      <c r="V22" s="570"/>
      <c r="W22" s="570"/>
      <c r="X22" s="570"/>
      <c r="Y22" s="570"/>
      <c r="Z22" s="570"/>
      <c r="AA22" s="570"/>
      <c r="AB22" s="570"/>
      <c r="AC22" s="570"/>
      <c r="AD22" s="570"/>
    </row>
    <row r="23" spans="1:30" x14ac:dyDescent="0.15">
      <c r="A23" s="570"/>
      <c r="B23" s="570"/>
      <c r="C23" s="570"/>
      <c r="D23" s="570"/>
      <c r="E23" s="570"/>
      <c r="F23" s="570"/>
      <c r="G23" s="570"/>
      <c r="H23" s="570"/>
      <c r="I23" s="570"/>
      <c r="J23" s="570"/>
      <c r="K23" s="570"/>
      <c r="L23" s="570"/>
      <c r="M23" s="570"/>
      <c r="N23" s="570"/>
      <c r="O23" s="570"/>
      <c r="P23" s="570"/>
      <c r="Q23" s="570"/>
      <c r="R23" s="570"/>
      <c r="S23" s="570"/>
      <c r="T23" s="570"/>
      <c r="U23" s="570"/>
      <c r="V23" s="570"/>
      <c r="W23" s="570"/>
      <c r="X23" s="570"/>
      <c r="Y23" s="570"/>
      <c r="Z23" s="570"/>
      <c r="AA23" s="570"/>
      <c r="AB23" s="570"/>
      <c r="AC23" s="570"/>
      <c r="AD23" s="570"/>
    </row>
    <row r="24" spans="1:30" x14ac:dyDescent="0.15">
      <c r="A24" s="570"/>
      <c r="B24" s="570"/>
      <c r="C24" s="570"/>
      <c r="D24" s="570"/>
      <c r="E24" s="570"/>
      <c r="F24" s="570"/>
      <c r="G24" s="570"/>
      <c r="H24" s="570"/>
      <c r="I24" s="570"/>
      <c r="J24" s="570"/>
      <c r="K24" s="570"/>
      <c r="L24" s="570"/>
      <c r="M24" s="570"/>
      <c r="N24" s="570"/>
      <c r="O24" s="570"/>
      <c r="P24" s="570"/>
      <c r="Q24" s="570"/>
      <c r="R24" s="570"/>
      <c r="S24" s="570"/>
      <c r="T24" s="570"/>
      <c r="U24" s="570"/>
      <c r="V24" s="570"/>
      <c r="W24" s="570"/>
      <c r="X24" s="570"/>
      <c r="Y24" s="570"/>
      <c r="Z24" s="570"/>
      <c r="AA24" s="570"/>
      <c r="AB24" s="570"/>
      <c r="AC24" s="570"/>
      <c r="AD24" s="570"/>
    </row>
    <row r="25" spans="1:30" x14ac:dyDescent="0.15">
      <c r="A25" s="570"/>
      <c r="B25" s="570"/>
      <c r="C25" s="570"/>
      <c r="D25" s="570"/>
      <c r="E25" s="570"/>
      <c r="F25" s="570"/>
      <c r="G25" s="570"/>
      <c r="H25" s="570"/>
      <c r="I25" s="570"/>
      <c r="J25" s="570"/>
      <c r="K25" s="570"/>
      <c r="L25" s="570"/>
      <c r="M25" s="570"/>
      <c r="N25" s="570"/>
      <c r="O25" s="570"/>
      <c r="P25" s="570"/>
      <c r="Q25" s="570"/>
      <c r="R25" s="570"/>
      <c r="S25" s="570"/>
      <c r="T25" s="570"/>
      <c r="U25" s="570"/>
      <c r="V25" s="570"/>
      <c r="W25" s="570"/>
      <c r="X25" s="570"/>
      <c r="Y25" s="570"/>
      <c r="Z25" s="570"/>
      <c r="AA25" s="570"/>
      <c r="AB25" s="570"/>
      <c r="AC25" s="570"/>
      <c r="AD25" s="570"/>
    </row>
    <row r="26" spans="1:30" x14ac:dyDescent="0.15">
      <c r="A26" s="570"/>
      <c r="B26" s="570"/>
      <c r="C26" s="570"/>
      <c r="D26" s="570"/>
      <c r="E26" s="570"/>
      <c r="F26" s="570"/>
      <c r="G26" s="570"/>
      <c r="H26" s="570"/>
      <c r="I26" s="570"/>
      <c r="J26" s="570"/>
      <c r="K26" s="570"/>
      <c r="L26" s="570"/>
      <c r="M26" s="570"/>
      <c r="N26" s="570"/>
      <c r="O26" s="570"/>
      <c r="P26" s="570"/>
      <c r="Q26" s="570"/>
      <c r="R26" s="570"/>
      <c r="S26" s="570"/>
      <c r="T26" s="570"/>
      <c r="U26" s="570"/>
      <c r="V26" s="570"/>
      <c r="W26" s="570"/>
      <c r="X26" s="570"/>
      <c r="Y26" s="570"/>
      <c r="Z26" s="570"/>
      <c r="AA26" s="570"/>
      <c r="AB26" s="570"/>
      <c r="AC26" s="570"/>
      <c r="AD26" s="570"/>
    </row>
    <row r="27" spans="1:30" x14ac:dyDescent="0.15">
      <c r="A27" s="570"/>
      <c r="B27" s="570"/>
      <c r="C27" s="576"/>
      <c r="D27" s="570"/>
      <c r="E27" s="570"/>
      <c r="F27" s="570"/>
      <c r="G27" s="570"/>
      <c r="H27" s="570"/>
      <c r="I27" s="570"/>
      <c r="J27" s="570"/>
      <c r="K27" s="570"/>
      <c r="L27" s="570"/>
      <c r="M27" s="570"/>
      <c r="N27" s="570"/>
      <c r="O27" s="570"/>
      <c r="P27" s="570"/>
      <c r="Q27" s="570"/>
      <c r="R27" s="570"/>
      <c r="S27" s="570"/>
      <c r="T27" s="570"/>
      <c r="U27" s="570"/>
      <c r="V27" s="570"/>
      <c r="W27" s="570"/>
      <c r="X27" s="570"/>
      <c r="Y27" s="570"/>
      <c r="Z27" s="570"/>
      <c r="AA27" s="570"/>
      <c r="AB27" s="570"/>
      <c r="AC27" s="570"/>
      <c r="AD27" s="570"/>
    </row>
    <row r="28" spans="1:30" x14ac:dyDescent="0.15">
      <c r="A28" s="570"/>
      <c r="B28" s="570"/>
      <c r="C28" s="574"/>
      <c r="D28" s="570"/>
      <c r="E28" s="570"/>
      <c r="F28" s="570"/>
      <c r="G28" s="570"/>
      <c r="H28" s="570"/>
      <c r="I28" s="570"/>
      <c r="J28" s="570"/>
      <c r="K28" s="570"/>
      <c r="L28" s="570"/>
      <c r="M28" s="570"/>
      <c r="N28" s="570"/>
      <c r="O28" s="570"/>
      <c r="P28" s="570"/>
      <c r="Q28" s="570"/>
      <c r="R28" s="570"/>
      <c r="S28" s="570"/>
      <c r="T28" s="570"/>
      <c r="U28" s="570"/>
      <c r="V28" s="570"/>
      <c r="W28" s="570"/>
      <c r="X28" s="570"/>
      <c r="Y28" s="570"/>
      <c r="Z28" s="570"/>
      <c r="AA28" s="570"/>
      <c r="AB28" s="570"/>
      <c r="AC28" s="570"/>
      <c r="AD28" s="570"/>
    </row>
    <row r="29" spans="1:30" x14ac:dyDescent="0.15">
      <c r="A29" s="570"/>
      <c r="B29" s="570"/>
      <c r="C29" s="570"/>
      <c r="D29" s="570"/>
      <c r="E29" s="570"/>
      <c r="F29" s="570"/>
      <c r="G29" s="570"/>
      <c r="H29" s="570"/>
      <c r="I29" s="570"/>
      <c r="J29" s="570"/>
      <c r="K29" s="570"/>
      <c r="L29" s="570"/>
      <c r="M29" s="570"/>
      <c r="N29" s="570"/>
      <c r="O29" s="570"/>
      <c r="P29" s="570"/>
      <c r="Q29" s="570"/>
      <c r="R29" s="570"/>
      <c r="S29" s="570"/>
      <c r="T29" s="570"/>
      <c r="U29" s="570"/>
      <c r="V29" s="570"/>
      <c r="W29" s="570"/>
      <c r="X29" s="570"/>
      <c r="Y29" s="570"/>
      <c r="Z29" s="570"/>
      <c r="AA29" s="570"/>
      <c r="AB29" s="570"/>
      <c r="AC29" s="570"/>
      <c r="AD29" s="570"/>
    </row>
    <row r="30" spans="1:30" x14ac:dyDescent="0.15">
      <c r="A30" s="570"/>
      <c r="B30" s="570"/>
      <c r="C30" s="570"/>
      <c r="D30" s="570"/>
      <c r="E30" s="570"/>
      <c r="F30" s="570"/>
      <c r="G30" s="570"/>
      <c r="H30" s="570"/>
      <c r="I30" s="570"/>
      <c r="J30" s="570"/>
      <c r="K30" s="570"/>
      <c r="L30" s="570"/>
      <c r="M30" s="570"/>
      <c r="N30" s="570"/>
      <c r="O30" s="570"/>
      <c r="P30" s="570"/>
      <c r="Q30" s="570"/>
      <c r="R30" s="570"/>
      <c r="S30" s="570"/>
      <c r="T30" s="570"/>
      <c r="U30" s="570"/>
      <c r="V30" s="570"/>
      <c r="W30" s="570"/>
      <c r="X30" s="570"/>
      <c r="Y30" s="570"/>
      <c r="Z30" s="570"/>
      <c r="AA30" s="570"/>
      <c r="AB30" s="570"/>
      <c r="AC30" s="570"/>
      <c r="AD30" s="570"/>
    </row>
    <row r="31" spans="1:30" x14ac:dyDescent="0.15">
      <c r="A31" s="570"/>
      <c r="B31" s="570"/>
      <c r="C31" s="570"/>
      <c r="D31" s="570"/>
      <c r="E31" s="570"/>
      <c r="F31" s="570"/>
      <c r="G31" s="570"/>
      <c r="H31" s="570"/>
      <c r="I31" s="570"/>
      <c r="J31" s="570"/>
      <c r="K31" s="570"/>
      <c r="L31" s="570"/>
      <c r="M31" s="570"/>
      <c r="N31" s="570"/>
      <c r="O31" s="570"/>
      <c r="P31" s="570"/>
      <c r="Q31" s="570"/>
      <c r="R31" s="570"/>
      <c r="S31" s="570"/>
      <c r="T31" s="570"/>
      <c r="U31" s="570"/>
      <c r="V31" s="570"/>
      <c r="W31" s="570"/>
      <c r="X31" s="570"/>
      <c r="Y31" s="570"/>
      <c r="Z31" s="570"/>
      <c r="AA31" s="570"/>
      <c r="AB31" s="570"/>
      <c r="AC31" s="570"/>
      <c r="AD31" s="570"/>
    </row>
    <row r="32" spans="1:30" x14ac:dyDescent="0.15">
      <c r="A32" s="570"/>
      <c r="B32" s="570"/>
      <c r="C32" s="570"/>
      <c r="D32" s="570"/>
      <c r="E32" s="570"/>
      <c r="F32" s="570"/>
      <c r="G32" s="570"/>
      <c r="H32" s="570"/>
      <c r="I32" s="570"/>
      <c r="J32" s="570"/>
      <c r="K32" s="570"/>
      <c r="L32" s="570"/>
      <c r="M32" s="570"/>
      <c r="N32" s="570"/>
      <c r="O32" s="570"/>
      <c r="P32" s="570"/>
      <c r="Q32" s="570"/>
      <c r="R32" s="570"/>
      <c r="S32" s="570"/>
      <c r="T32" s="570"/>
      <c r="U32" s="570"/>
      <c r="V32" s="570"/>
      <c r="W32" s="570"/>
      <c r="X32" s="570"/>
      <c r="Y32" s="570"/>
      <c r="Z32" s="570"/>
      <c r="AA32" s="570"/>
      <c r="AB32" s="570"/>
      <c r="AC32" s="570"/>
      <c r="AD32" s="570"/>
    </row>
    <row r="33" spans="1:30" x14ac:dyDescent="0.15">
      <c r="A33" s="570"/>
      <c r="B33" s="570"/>
      <c r="C33" s="570"/>
      <c r="D33" s="570"/>
      <c r="E33" s="570"/>
      <c r="F33" s="570"/>
      <c r="G33" s="570"/>
      <c r="H33" s="570"/>
      <c r="I33" s="570"/>
      <c r="J33" s="570"/>
      <c r="K33" s="570"/>
      <c r="L33" s="570"/>
      <c r="M33" s="570"/>
      <c r="N33" s="570"/>
      <c r="O33" s="570"/>
      <c r="P33" s="570"/>
      <c r="Q33" s="570"/>
      <c r="R33" s="570"/>
      <c r="S33" s="570"/>
      <c r="T33" s="570"/>
      <c r="U33" s="570"/>
      <c r="V33" s="570"/>
      <c r="W33" s="570"/>
      <c r="X33" s="570"/>
      <c r="Y33" s="570"/>
      <c r="Z33" s="570"/>
      <c r="AA33" s="570"/>
      <c r="AB33" s="570"/>
      <c r="AC33" s="570"/>
      <c r="AD33" s="570"/>
    </row>
    <row r="34" spans="1:30" x14ac:dyDescent="0.15">
      <c r="A34" s="570"/>
      <c r="B34" s="570"/>
      <c r="C34" s="570"/>
      <c r="D34" s="570"/>
      <c r="E34" s="570"/>
      <c r="F34" s="570"/>
      <c r="G34" s="570"/>
      <c r="H34" s="570"/>
      <c r="I34" s="570"/>
      <c r="J34" s="570"/>
      <c r="K34" s="570"/>
      <c r="L34" s="570"/>
      <c r="M34" s="570"/>
      <c r="N34" s="570"/>
      <c r="O34" s="570"/>
      <c r="P34" s="570"/>
      <c r="Q34" s="570"/>
      <c r="R34" s="570"/>
      <c r="S34" s="570"/>
      <c r="T34" s="570"/>
      <c r="U34" s="570"/>
      <c r="V34" s="570"/>
      <c r="W34" s="570"/>
      <c r="X34" s="570"/>
      <c r="Y34" s="570"/>
      <c r="Z34" s="570"/>
      <c r="AA34" s="570"/>
      <c r="AB34" s="570"/>
      <c r="AC34" s="570"/>
      <c r="AD34" s="570"/>
    </row>
    <row r="35" spans="1:30" x14ac:dyDescent="0.15">
      <c r="A35" s="570"/>
      <c r="B35" s="570"/>
      <c r="C35" s="570"/>
      <c r="D35" s="570"/>
      <c r="E35" s="570"/>
      <c r="F35" s="570"/>
      <c r="G35" s="570"/>
      <c r="H35" s="570"/>
      <c r="I35" s="570"/>
      <c r="J35" s="570"/>
      <c r="K35" s="570"/>
      <c r="L35" s="570"/>
      <c r="M35" s="570"/>
      <c r="N35" s="570"/>
      <c r="O35" s="570"/>
      <c r="P35" s="570"/>
      <c r="Q35" s="570"/>
      <c r="R35" s="570"/>
      <c r="S35" s="570"/>
      <c r="T35" s="570"/>
      <c r="U35" s="570"/>
      <c r="V35" s="570"/>
      <c r="W35" s="570"/>
      <c r="X35" s="570"/>
      <c r="Y35" s="570"/>
      <c r="Z35" s="570"/>
      <c r="AA35" s="570"/>
      <c r="AB35" s="570"/>
      <c r="AC35" s="570"/>
      <c r="AD35" s="570"/>
    </row>
    <row r="36" spans="1:30" x14ac:dyDescent="0.15">
      <c r="A36" s="570"/>
      <c r="B36" s="570"/>
      <c r="C36" s="570"/>
      <c r="D36" s="570"/>
      <c r="E36" s="570"/>
      <c r="F36" s="570"/>
      <c r="G36" s="570"/>
      <c r="H36" s="570"/>
      <c r="I36" s="570"/>
      <c r="J36" s="570"/>
      <c r="K36" s="570"/>
      <c r="L36" s="570"/>
      <c r="M36" s="570"/>
      <c r="N36" s="570"/>
      <c r="O36" s="570"/>
      <c r="P36" s="570"/>
      <c r="Q36" s="570"/>
      <c r="R36" s="570"/>
      <c r="S36" s="570"/>
      <c r="T36" s="570"/>
      <c r="U36" s="570"/>
      <c r="V36" s="570"/>
      <c r="W36" s="570"/>
      <c r="X36" s="570"/>
      <c r="Y36" s="570"/>
      <c r="Z36" s="570"/>
      <c r="AA36" s="570"/>
      <c r="AB36" s="570"/>
      <c r="AC36" s="570"/>
      <c r="AD36" s="570"/>
    </row>
    <row r="37" spans="1:30" x14ac:dyDescent="0.15">
      <c r="A37" s="570"/>
      <c r="B37" s="570"/>
      <c r="C37" s="570"/>
      <c r="D37" s="570"/>
      <c r="E37" s="570"/>
      <c r="F37" s="570"/>
      <c r="G37" s="570"/>
      <c r="H37" s="570"/>
      <c r="I37" s="570"/>
      <c r="J37" s="570"/>
      <c r="K37" s="570"/>
      <c r="L37" s="570"/>
      <c r="M37" s="570"/>
      <c r="N37" s="570"/>
      <c r="O37" s="570"/>
      <c r="P37" s="570"/>
      <c r="Q37" s="570"/>
      <c r="R37" s="570"/>
      <c r="S37" s="570"/>
      <c r="T37" s="570"/>
      <c r="U37" s="570"/>
      <c r="V37" s="570"/>
      <c r="W37" s="570"/>
      <c r="X37" s="570"/>
      <c r="Y37" s="570"/>
      <c r="Z37" s="570"/>
      <c r="AA37" s="570"/>
      <c r="AB37" s="570"/>
      <c r="AC37" s="570"/>
      <c r="AD37" s="570"/>
    </row>
    <row r="38" spans="1:30" x14ac:dyDescent="0.15">
      <c r="A38" s="570"/>
      <c r="B38" s="570"/>
      <c r="C38" s="570"/>
      <c r="D38" s="570"/>
      <c r="E38" s="570"/>
      <c r="F38" s="570"/>
      <c r="G38" s="570"/>
      <c r="H38" s="570"/>
      <c r="I38" s="570"/>
      <c r="J38" s="570"/>
      <c r="K38" s="570"/>
      <c r="L38" s="570"/>
      <c r="M38" s="570"/>
      <c r="N38" s="570"/>
      <c r="O38" s="570"/>
      <c r="P38" s="570"/>
      <c r="Q38" s="570"/>
      <c r="R38" s="570"/>
      <c r="S38" s="570"/>
      <c r="T38" s="570"/>
      <c r="U38" s="570"/>
      <c r="V38" s="570"/>
      <c r="W38" s="570"/>
      <c r="X38" s="570"/>
      <c r="Y38" s="570"/>
      <c r="Z38" s="570"/>
      <c r="AA38" s="570"/>
      <c r="AB38" s="570"/>
      <c r="AC38" s="570"/>
      <c r="AD38" s="570"/>
    </row>
    <row r="39" spans="1:30" x14ac:dyDescent="0.15">
      <c r="A39" s="570"/>
      <c r="B39" s="570"/>
      <c r="C39" s="570"/>
      <c r="D39" s="570"/>
      <c r="E39" s="570"/>
      <c r="F39" s="570"/>
      <c r="G39" s="570"/>
      <c r="H39" s="570"/>
      <c r="I39" s="570"/>
      <c r="J39" s="570"/>
      <c r="K39" s="570"/>
      <c r="L39" s="570"/>
      <c r="M39" s="570"/>
      <c r="N39" s="570"/>
      <c r="O39" s="570"/>
      <c r="P39" s="570"/>
      <c r="Q39" s="570"/>
      <c r="R39" s="570"/>
      <c r="S39" s="570"/>
      <c r="T39" s="570"/>
      <c r="U39" s="570"/>
      <c r="V39" s="570"/>
      <c r="W39" s="570"/>
      <c r="X39" s="570"/>
      <c r="Y39" s="570"/>
      <c r="Z39" s="570"/>
      <c r="AA39" s="570"/>
      <c r="AB39" s="570"/>
      <c r="AC39" s="570"/>
      <c r="AD39" s="570"/>
    </row>
    <row r="40" spans="1:30" x14ac:dyDescent="0.15">
      <c r="A40" s="570"/>
      <c r="B40" s="570"/>
      <c r="C40" s="570"/>
      <c r="D40" s="570"/>
      <c r="E40" s="570"/>
      <c r="F40" s="570"/>
      <c r="G40" s="570"/>
      <c r="H40" s="570"/>
      <c r="I40" s="570"/>
      <c r="J40" s="570"/>
      <c r="K40" s="570"/>
      <c r="L40" s="570"/>
      <c r="M40" s="570"/>
      <c r="N40" s="570"/>
      <c r="O40" s="570"/>
      <c r="P40" s="570"/>
      <c r="Q40" s="570"/>
      <c r="R40" s="570"/>
      <c r="S40" s="570"/>
      <c r="T40" s="570"/>
      <c r="U40" s="570"/>
      <c r="V40" s="570"/>
      <c r="W40" s="570"/>
      <c r="X40" s="570"/>
      <c r="Y40" s="570"/>
      <c r="Z40" s="570"/>
      <c r="AA40" s="570"/>
      <c r="AB40" s="570"/>
      <c r="AC40" s="570"/>
      <c r="AD40" s="570"/>
    </row>
    <row r="41" spans="1:30" x14ac:dyDescent="0.15">
      <c r="A41" s="570"/>
      <c r="B41" s="570"/>
      <c r="C41" s="570"/>
      <c r="D41" s="570"/>
      <c r="E41" s="570"/>
      <c r="F41" s="570"/>
      <c r="G41" s="570"/>
      <c r="H41" s="570"/>
      <c r="I41" s="570"/>
      <c r="J41" s="570"/>
      <c r="K41" s="570"/>
      <c r="L41" s="570"/>
      <c r="M41" s="570"/>
      <c r="N41" s="570"/>
      <c r="O41" s="570"/>
      <c r="P41" s="570"/>
      <c r="Q41" s="570"/>
      <c r="R41" s="570"/>
      <c r="S41" s="570"/>
      <c r="T41" s="570"/>
      <c r="U41" s="570"/>
      <c r="V41" s="570"/>
      <c r="W41" s="570"/>
      <c r="X41" s="570"/>
      <c r="Y41" s="570"/>
      <c r="Z41" s="570"/>
      <c r="AA41" s="570"/>
      <c r="AB41" s="570"/>
      <c r="AC41" s="570"/>
      <c r="AD41" s="570"/>
    </row>
    <row r="42" spans="1:30" x14ac:dyDescent="0.15">
      <c r="A42" s="570"/>
      <c r="B42" s="570"/>
      <c r="C42" s="570"/>
      <c r="D42" s="570"/>
      <c r="E42" s="570"/>
      <c r="F42" s="570"/>
      <c r="G42" s="570"/>
      <c r="H42" s="570"/>
      <c r="I42" s="570"/>
      <c r="J42" s="570"/>
      <c r="K42" s="570"/>
      <c r="L42" s="570"/>
      <c r="M42" s="570"/>
      <c r="N42" s="570"/>
      <c r="O42" s="570"/>
      <c r="P42" s="570"/>
      <c r="Q42" s="570"/>
      <c r="R42" s="570"/>
      <c r="S42" s="570"/>
      <c r="T42" s="570"/>
      <c r="U42" s="570"/>
      <c r="V42" s="570"/>
      <c r="W42" s="570"/>
      <c r="X42" s="570"/>
      <c r="Y42" s="570"/>
      <c r="Z42" s="570"/>
      <c r="AA42" s="570"/>
      <c r="AB42" s="570"/>
      <c r="AC42" s="570"/>
      <c r="AD42" s="570"/>
    </row>
    <row r="43" spans="1:30" x14ac:dyDescent="0.15">
      <c r="A43" s="570"/>
      <c r="B43" s="570"/>
      <c r="C43" s="570"/>
      <c r="D43" s="570"/>
      <c r="E43" s="570"/>
      <c r="F43" s="570"/>
      <c r="G43" s="570"/>
      <c r="H43" s="570"/>
      <c r="I43" s="570"/>
      <c r="J43" s="570"/>
      <c r="K43" s="570"/>
      <c r="L43" s="570"/>
      <c r="M43" s="570"/>
      <c r="N43" s="570"/>
      <c r="O43" s="570"/>
      <c r="P43" s="570"/>
      <c r="Q43" s="570"/>
      <c r="R43" s="570"/>
      <c r="S43" s="570"/>
      <c r="T43" s="570"/>
      <c r="U43" s="570"/>
      <c r="V43" s="570"/>
      <c r="W43" s="570"/>
      <c r="X43" s="570"/>
      <c r="Y43" s="570"/>
      <c r="Z43" s="570"/>
      <c r="AA43" s="570"/>
      <c r="AB43" s="570"/>
      <c r="AC43" s="570"/>
      <c r="AD43" s="570"/>
    </row>
    <row r="44" spans="1:30" x14ac:dyDescent="0.15">
      <c r="A44" s="570"/>
      <c r="B44" s="570"/>
      <c r="C44" s="570"/>
      <c r="D44" s="570"/>
      <c r="E44" s="570"/>
      <c r="F44" s="570"/>
      <c r="G44" s="570"/>
      <c r="H44" s="570"/>
      <c r="I44" s="570"/>
      <c r="J44" s="570"/>
      <c r="K44" s="570"/>
      <c r="L44" s="570"/>
      <c r="M44" s="570"/>
      <c r="N44" s="570"/>
      <c r="O44" s="570"/>
      <c r="P44" s="570"/>
      <c r="Q44" s="570"/>
      <c r="R44" s="570"/>
      <c r="S44" s="570"/>
      <c r="T44" s="570"/>
      <c r="U44" s="570"/>
      <c r="V44" s="570"/>
      <c r="W44" s="570"/>
      <c r="X44" s="570"/>
      <c r="Y44" s="570"/>
      <c r="Z44" s="570"/>
      <c r="AA44" s="570"/>
      <c r="AB44" s="570"/>
      <c r="AC44" s="570"/>
      <c r="AD44" s="570"/>
    </row>
    <row r="45" spans="1:30" x14ac:dyDescent="0.15">
      <c r="A45" s="570"/>
      <c r="B45" s="570"/>
      <c r="C45" s="570"/>
      <c r="D45" s="570"/>
      <c r="E45" s="570"/>
      <c r="F45" s="570"/>
      <c r="G45" s="570"/>
      <c r="H45" s="570"/>
      <c r="I45" s="570"/>
      <c r="J45" s="570"/>
      <c r="K45" s="570"/>
      <c r="L45" s="570"/>
      <c r="M45" s="570"/>
      <c r="N45" s="570"/>
      <c r="O45" s="570"/>
      <c r="P45" s="570"/>
      <c r="Q45" s="570"/>
      <c r="R45" s="570"/>
      <c r="S45" s="570"/>
      <c r="T45" s="570"/>
      <c r="U45" s="570"/>
      <c r="V45" s="570"/>
      <c r="W45" s="570"/>
      <c r="X45" s="570"/>
      <c r="Y45" s="570"/>
      <c r="Z45" s="570"/>
      <c r="AA45" s="570"/>
      <c r="AB45" s="570"/>
      <c r="AC45" s="570"/>
      <c r="AD45" s="570"/>
    </row>
    <row r="46" spans="1:30" x14ac:dyDescent="0.15">
      <c r="A46" s="570"/>
      <c r="B46" s="570"/>
      <c r="C46" s="570"/>
      <c r="D46" s="570"/>
      <c r="E46" s="570"/>
      <c r="F46" s="570"/>
      <c r="G46" s="570"/>
      <c r="H46" s="570"/>
      <c r="I46" s="570"/>
      <c r="J46" s="570"/>
      <c r="K46" s="570"/>
      <c r="L46" s="570"/>
      <c r="M46" s="570"/>
      <c r="N46" s="570"/>
      <c r="O46" s="570"/>
      <c r="P46" s="570"/>
      <c r="Q46" s="570"/>
      <c r="R46" s="570"/>
      <c r="S46" s="570"/>
      <c r="T46" s="570"/>
      <c r="U46" s="570"/>
      <c r="V46" s="570"/>
      <c r="W46" s="570"/>
      <c r="X46" s="570"/>
      <c r="Y46" s="570"/>
      <c r="Z46" s="570"/>
      <c r="AA46" s="570"/>
      <c r="AB46" s="570"/>
      <c r="AC46" s="570"/>
      <c r="AD46" s="570"/>
    </row>
    <row r="47" spans="1:30" x14ac:dyDescent="0.15">
      <c r="A47" s="570"/>
      <c r="B47" s="570"/>
      <c r="C47" s="570"/>
      <c r="D47" s="570"/>
      <c r="E47" s="570"/>
      <c r="F47" s="570"/>
      <c r="G47" s="570"/>
      <c r="H47" s="570"/>
      <c r="I47" s="570"/>
      <c r="J47" s="570"/>
      <c r="K47" s="570"/>
      <c r="L47" s="570"/>
      <c r="M47" s="570"/>
      <c r="N47" s="570"/>
      <c r="O47" s="570"/>
      <c r="P47" s="570"/>
      <c r="Q47" s="570"/>
      <c r="R47" s="570"/>
      <c r="S47" s="570"/>
      <c r="T47" s="570"/>
      <c r="U47" s="570"/>
      <c r="V47" s="570"/>
      <c r="W47" s="570"/>
      <c r="X47" s="570"/>
      <c r="Y47" s="570"/>
      <c r="Z47" s="570"/>
      <c r="AA47" s="570"/>
      <c r="AB47" s="570"/>
      <c r="AC47" s="570"/>
      <c r="AD47" s="570"/>
    </row>
    <row r="48" spans="1:30" x14ac:dyDescent="0.15">
      <c r="A48" s="570"/>
      <c r="B48" s="570"/>
      <c r="C48" s="570"/>
      <c r="D48" s="570"/>
      <c r="E48" s="570"/>
      <c r="F48" s="570"/>
      <c r="G48" s="570"/>
      <c r="H48" s="570"/>
      <c r="I48" s="570"/>
      <c r="J48" s="570"/>
      <c r="K48" s="570"/>
      <c r="L48" s="570"/>
      <c r="M48" s="570"/>
      <c r="N48" s="570"/>
      <c r="O48" s="570"/>
      <c r="P48" s="570"/>
      <c r="Q48" s="570"/>
      <c r="R48" s="570"/>
      <c r="S48" s="570"/>
      <c r="T48" s="570"/>
      <c r="U48" s="570"/>
      <c r="V48" s="570"/>
      <c r="W48" s="570"/>
      <c r="X48" s="570"/>
      <c r="Y48" s="570"/>
      <c r="Z48" s="570"/>
      <c r="AA48" s="570"/>
      <c r="AB48" s="570"/>
      <c r="AC48" s="570"/>
      <c r="AD48" s="570"/>
    </row>
    <row r="49" spans="1:30" x14ac:dyDescent="0.15">
      <c r="A49" s="570"/>
      <c r="B49" s="570"/>
      <c r="C49" s="570"/>
      <c r="D49" s="570"/>
      <c r="E49" s="570"/>
      <c r="F49" s="570"/>
      <c r="G49" s="570"/>
      <c r="H49" s="570"/>
      <c r="I49" s="570"/>
      <c r="J49" s="570"/>
      <c r="K49" s="570"/>
      <c r="L49" s="570"/>
      <c r="M49" s="570"/>
      <c r="N49" s="570"/>
      <c r="O49" s="570"/>
      <c r="P49" s="570"/>
      <c r="Q49" s="570"/>
      <c r="R49" s="570"/>
      <c r="S49" s="570"/>
      <c r="T49" s="570"/>
      <c r="U49" s="570"/>
      <c r="V49" s="570"/>
      <c r="W49" s="570"/>
      <c r="X49" s="570"/>
      <c r="Y49" s="570"/>
      <c r="Z49" s="570"/>
      <c r="AA49" s="570"/>
      <c r="AB49" s="570"/>
      <c r="AC49" s="570"/>
      <c r="AD49" s="570"/>
    </row>
    <row r="50" spans="1:30" x14ac:dyDescent="0.15">
      <c r="A50" s="570"/>
      <c r="B50" s="570"/>
      <c r="C50" s="570"/>
      <c r="D50" s="570"/>
      <c r="E50" s="570"/>
      <c r="F50" s="570"/>
      <c r="G50" s="570"/>
      <c r="H50" s="570"/>
      <c r="I50" s="570"/>
      <c r="J50" s="570"/>
      <c r="K50" s="570"/>
      <c r="L50" s="570"/>
      <c r="M50" s="570"/>
      <c r="N50" s="570"/>
      <c r="O50" s="570"/>
      <c r="P50" s="570"/>
      <c r="Q50" s="570"/>
      <c r="R50" s="570"/>
      <c r="S50" s="570"/>
      <c r="T50" s="570"/>
      <c r="U50" s="570"/>
      <c r="V50" s="570"/>
      <c r="W50" s="570"/>
      <c r="X50" s="570"/>
      <c r="Y50" s="570"/>
      <c r="Z50" s="570"/>
      <c r="AA50" s="570"/>
      <c r="AB50" s="570"/>
      <c r="AC50" s="570"/>
      <c r="AD50" s="570"/>
    </row>
    <row r="51" spans="1:30" x14ac:dyDescent="0.15">
      <c r="A51" s="570"/>
      <c r="B51" s="570"/>
      <c r="C51" s="570"/>
      <c r="D51" s="570"/>
      <c r="E51" s="570"/>
      <c r="F51" s="570"/>
      <c r="G51" s="570"/>
      <c r="H51" s="570"/>
      <c r="I51" s="570"/>
      <c r="J51" s="570"/>
      <c r="K51" s="570"/>
      <c r="L51" s="570"/>
      <c r="M51" s="570"/>
      <c r="N51" s="570"/>
      <c r="O51" s="570"/>
      <c r="P51" s="570"/>
      <c r="Q51" s="570"/>
      <c r="R51" s="570"/>
      <c r="S51" s="570"/>
      <c r="T51" s="570"/>
      <c r="U51" s="570"/>
      <c r="V51" s="570"/>
      <c r="W51" s="570"/>
      <c r="X51" s="570"/>
      <c r="Y51" s="570"/>
      <c r="Z51" s="570"/>
      <c r="AA51" s="570"/>
      <c r="AB51" s="570"/>
      <c r="AC51" s="570"/>
      <c r="AD51" s="570"/>
    </row>
    <row r="52" spans="1:30" x14ac:dyDescent="0.15">
      <c r="A52" s="570"/>
      <c r="B52" s="570"/>
      <c r="C52" s="570"/>
      <c r="D52" s="570"/>
      <c r="E52" s="570"/>
      <c r="F52" s="570"/>
      <c r="G52" s="570"/>
      <c r="H52" s="570"/>
      <c r="I52" s="570"/>
      <c r="J52" s="570"/>
      <c r="K52" s="570"/>
      <c r="L52" s="570"/>
      <c r="M52" s="570"/>
      <c r="N52" s="570"/>
      <c r="O52" s="570"/>
      <c r="P52" s="570"/>
      <c r="Q52" s="570"/>
      <c r="R52" s="570"/>
      <c r="S52" s="570"/>
      <c r="T52" s="570"/>
      <c r="U52" s="570"/>
      <c r="V52" s="570"/>
      <c r="W52" s="570"/>
      <c r="X52" s="570"/>
      <c r="Y52" s="570"/>
      <c r="Z52" s="570"/>
      <c r="AA52" s="570"/>
      <c r="AB52" s="570"/>
      <c r="AC52" s="570"/>
      <c r="AD52" s="570"/>
    </row>
    <row r="53" spans="1:30" x14ac:dyDescent="0.15">
      <c r="A53" s="570"/>
      <c r="B53" s="570"/>
      <c r="C53" s="570"/>
      <c r="D53" s="570"/>
      <c r="E53" s="570"/>
      <c r="F53" s="570"/>
      <c r="G53" s="570"/>
      <c r="H53" s="570"/>
      <c r="I53" s="570"/>
      <c r="J53" s="570"/>
      <c r="K53" s="570"/>
      <c r="L53" s="570"/>
      <c r="M53" s="570"/>
      <c r="N53" s="570"/>
      <c r="O53" s="570"/>
      <c r="P53" s="570"/>
      <c r="Q53" s="570"/>
      <c r="R53" s="570"/>
      <c r="S53" s="570"/>
      <c r="T53" s="570"/>
      <c r="U53" s="570"/>
      <c r="V53" s="570"/>
      <c r="W53" s="570"/>
      <c r="X53" s="570"/>
      <c r="Y53" s="570"/>
      <c r="Z53" s="570"/>
      <c r="AA53" s="570"/>
      <c r="AB53" s="570"/>
      <c r="AC53" s="570"/>
      <c r="AD53" s="570"/>
    </row>
    <row r="54" spans="1:30" x14ac:dyDescent="0.15">
      <c r="A54" s="570"/>
      <c r="B54" s="570"/>
      <c r="C54" s="570"/>
      <c r="D54" s="570"/>
      <c r="E54" s="570"/>
      <c r="F54" s="570"/>
      <c r="G54" s="570"/>
      <c r="H54" s="570"/>
      <c r="I54" s="570"/>
      <c r="J54" s="570"/>
      <c r="K54" s="570"/>
      <c r="L54" s="570"/>
      <c r="M54" s="570"/>
      <c r="N54" s="570"/>
      <c r="O54" s="570"/>
      <c r="P54" s="570"/>
      <c r="Q54" s="570"/>
      <c r="R54" s="570"/>
      <c r="S54" s="570"/>
      <c r="T54" s="570"/>
      <c r="U54" s="570"/>
      <c r="V54" s="570"/>
      <c r="W54" s="570"/>
      <c r="X54" s="570"/>
      <c r="Y54" s="570"/>
      <c r="Z54" s="570"/>
      <c r="AA54" s="570"/>
      <c r="AB54" s="570"/>
      <c r="AC54" s="570"/>
      <c r="AD54" s="570"/>
    </row>
    <row r="55" spans="1:30" x14ac:dyDescent="0.15">
      <c r="A55" s="570"/>
      <c r="B55" s="570"/>
      <c r="C55" s="570"/>
      <c r="D55" s="570"/>
      <c r="E55" s="570"/>
      <c r="F55" s="570"/>
      <c r="G55" s="570"/>
      <c r="H55" s="570"/>
      <c r="I55" s="570"/>
      <c r="J55" s="570"/>
      <c r="K55" s="570"/>
      <c r="L55" s="570"/>
      <c r="M55" s="570"/>
      <c r="N55" s="570"/>
      <c r="O55" s="570"/>
      <c r="P55" s="570"/>
      <c r="Q55" s="570"/>
      <c r="R55" s="570"/>
      <c r="S55" s="570"/>
      <c r="T55" s="570"/>
      <c r="U55" s="570"/>
      <c r="V55" s="570"/>
      <c r="W55" s="570"/>
      <c r="X55" s="570"/>
      <c r="Y55" s="570"/>
      <c r="Z55" s="570"/>
      <c r="AA55" s="570"/>
      <c r="AB55" s="570"/>
      <c r="AC55" s="570"/>
      <c r="AD55" s="570"/>
    </row>
    <row r="56" spans="1:30" x14ac:dyDescent="0.15">
      <c r="A56" s="570"/>
      <c r="B56" s="570"/>
      <c r="C56" s="570"/>
      <c r="D56" s="570"/>
      <c r="E56" s="570"/>
      <c r="F56" s="570"/>
      <c r="G56" s="570"/>
      <c r="H56" s="570"/>
      <c r="I56" s="570"/>
      <c r="J56" s="570"/>
      <c r="K56" s="570"/>
      <c r="L56" s="570"/>
      <c r="M56" s="570"/>
      <c r="N56" s="570"/>
      <c r="O56" s="570"/>
      <c r="P56" s="570"/>
      <c r="Q56" s="570"/>
      <c r="R56" s="570"/>
      <c r="S56" s="570"/>
      <c r="T56" s="570"/>
      <c r="U56" s="570"/>
      <c r="V56" s="570"/>
      <c r="W56" s="570"/>
      <c r="X56" s="570"/>
      <c r="Y56" s="570"/>
      <c r="Z56" s="570"/>
      <c r="AA56" s="570"/>
      <c r="AB56" s="570"/>
      <c r="AC56" s="570"/>
      <c r="AD56" s="570"/>
    </row>
    <row r="57" spans="1:30" x14ac:dyDescent="0.15">
      <c r="A57" s="570"/>
      <c r="B57" s="570"/>
      <c r="C57" s="570"/>
      <c r="D57" s="570"/>
      <c r="E57" s="570"/>
      <c r="F57" s="570"/>
      <c r="G57" s="570"/>
      <c r="H57" s="570"/>
      <c r="I57" s="570"/>
      <c r="J57" s="570"/>
      <c r="K57" s="570"/>
      <c r="L57" s="570"/>
      <c r="M57" s="570"/>
      <c r="N57" s="570"/>
      <c r="O57" s="570"/>
      <c r="P57" s="570"/>
      <c r="Q57" s="570"/>
      <c r="R57" s="570"/>
      <c r="S57" s="570"/>
      <c r="T57" s="570"/>
      <c r="U57" s="570"/>
      <c r="V57" s="570"/>
      <c r="W57" s="570"/>
      <c r="X57" s="570"/>
      <c r="Y57" s="570"/>
      <c r="Z57" s="570"/>
      <c r="AA57" s="570"/>
      <c r="AB57" s="570"/>
      <c r="AC57" s="570"/>
      <c r="AD57" s="570"/>
    </row>
    <row r="58" spans="1:30" x14ac:dyDescent="0.15">
      <c r="A58" s="570"/>
      <c r="B58" s="570"/>
      <c r="C58" s="570"/>
      <c r="D58" s="570"/>
      <c r="E58" s="570"/>
      <c r="F58" s="570"/>
      <c r="G58" s="570"/>
      <c r="H58" s="570"/>
      <c r="I58" s="570"/>
      <c r="J58" s="570"/>
      <c r="K58" s="570"/>
      <c r="L58" s="570"/>
      <c r="M58" s="570"/>
      <c r="N58" s="570"/>
      <c r="O58" s="570"/>
      <c r="P58" s="570"/>
      <c r="Q58" s="570"/>
      <c r="R58" s="570"/>
      <c r="S58" s="570"/>
      <c r="T58" s="570"/>
      <c r="U58" s="570"/>
      <c r="V58" s="570"/>
      <c r="W58" s="570"/>
      <c r="X58" s="570"/>
      <c r="Y58" s="570"/>
      <c r="Z58" s="570"/>
      <c r="AA58" s="570"/>
      <c r="AB58" s="570"/>
      <c r="AC58" s="570"/>
      <c r="AD58" s="570"/>
    </row>
    <row r="59" spans="1:30" x14ac:dyDescent="0.15">
      <c r="A59" s="570"/>
      <c r="B59" s="570"/>
      <c r="C59" s="570"/>
      <c r="D59" s="570"/>
      <c r="E59" s="570"/>
      <c r="F59" s="570"/>
      <c r="G59" s="570"/>
      <c r="H59" s="570"/>
      <c r="I59" s="570"/>
      <c r="J59" s="570"/>
      <c r="K59" s="570"/>
      <c r="L59" s="570"/>
      <c r="M59" s="570"/>
      <c r="N59" s="570"/>
      <c r="O59" s="570"/>
      <c r="P59" s="570"/>
      <c r="Q59" s="570"/>
      <c r="R59" s="570"/>
      <c r="S59" s="570"/>
      <c r="T59" s="570"/>
      <c r="U59" s="570"/>
      <c r="V59" s="570"/>
      <c r="W59" s="570"/>
      <c r="X59" s="570"/>
      <c r="Y59" s="570"/>
      <c r="Z59" s="570"/>
      <c r="AA59" s="570"/>
      <c r="AB59" s="570"/>
      <c r="AC59" s="570"/>
      <c r="AD59" s="570"/>
    </row>
    <row r="60" spans="1:30" x14ac:dyDescent="0.15">
      <c r="A60" s="570"/>
      <c r="B60" s="570"/>
      <c r="C60" s="570"/>
      <c r="D60" s="570"/>
      <c r="E60" s="570"/>
      <c r="F60" s="570"/>
      <c r="G60" s="570"/>
      <c r="H60" s="570"/>
      <c r="I60" s="570"/>
      <c r="J60" s="570"/>
      <c r="K60" s="570"/>
      <c r="L60" s="570"/>
      <c r="M60" s="570"/>
      <c r="N60" s="570"/>
      <c r="O60" s="570"/>
      <c r="P60" s="570"/>
      <c r="Q60" s="570"/>
      <c r="R60" s="570"/>
      <c r="S60" s="570"/>
      <c r="T60" s="570"/>
      <c r="U60" s="570"/>
      <c r="V60" s="570"/>
      <c r="W60" s="570"/>
      <c r="X60" s="570"/>
      <c r="Y60" s="570"/>
      <c r="Z60" s="570"/>
      <c r="AA60" s="570"/>
      <c r="AB60" s="570"/>
      <c r="AC60" s="570"/>
      <c r="AD60" s="570"/>
    </row>
    <row r="61" spans="1:30" x14ac:dyDescent="0.15">
      <c r="A61" s="570"/>
      <c r="B61" s="570"/>
      <c r="C61" s="570"/>
      <c r="D61" s="570"/>
      <c r="E61" s="570"/>
      <c r="F61" s="570"/>
      <c r="G61" s="570"/>
      <c r="H61" s="570"/>
      <c r="I61" s="570"/>
      <c r="J61" s="570"/>
      <c r="K61" s="570"/>
      <c r="L61" s="570"/>
      <c r="M61" s="570"/>
      <c r="N61" s="570"/>
      <c r="O61" s="570"/>
      <c r="P61" s="570"/>
      <c r="Q61" s="570"/>
      <c r="R61" s="570"/>
      <c r="S61" s="570"/>
      <c r="T61" s="570"/>
      <c r="U61" s="570"/>
      <c r="V61" s="570"/>
      <c r="W61" s="570"/>
      <c r="X61" s="570"/>
      <c r="Y61" s="570"/>
      <c r="Z61" s="570"/>
      <c r="AA61" s="570"/>
      <c r="AB61" s="570"/>
      <c r="AC61" s="570"/>
      <c r="AD61" s="570"/>
    </row>
    <row r="62" spans="1:30" x14ac:dyDescent="0.15">
      <c r="A62" s="570"/>
      <c r="B62" s="570"/>
      <c r="C62" s="570"/>
      <c r="D62" s="570"/>
      <c r="E62" s="570"/>
      <c r="F62" s="570"/>
      <c r="G62" s="570"/>
      <c r="H62" s="570"/>
      <c r="I62" s="570"/>
      <c r="J62" s="570"/>
      <c r="K62" s="570"/>
      <c r="L62" s="570"/>
      <c r="M62" s="570"/>
      <c r="N62" s="570"/>
      <c r="O62" s="570"/>
      <c r="P62" s="570"/>
      <c r="Q62" s="570"/>
      <c r="R62" s="570"/>
      <c r="S62" s="570"/>
      <c r="T62" s="570"/>
      <c r="U62" s="570"/>
      <c r="V62" s="570"/>
      <c r="W62" s="570"/>
      <c r="X62" s="570"/>
      <c r="Y62" s="570"/>
      <c r="Z62" s="570"/>
      <c r="AA62" s="570"/>
      <c r="AB62" s="570"/>
      <c r="AC62" s="570"/>
      <c r="AD62" s="570"/>
    </row>
    <row r="63" spans="1:30" x14ac:dyDescent="0.15">
      <c r="A63" s="570"/>
      <c r="B63" s="570"/>
      <c r="C63" s="570"/>
      <c r="D63" s="570"/>
      <c r="E63" s="570"/>
      <c r="F63" s="570"/>
      <c r="G63" s="570"/>
      <c r="H63" s="570"/>
      <c r="I63" s="570"/>
      <c r="J63" s="570"/>
      <c r="K63" s="570"/>
      <c r="L63" s="570"/>
      <c r="M63" s="570"/>
      <c r="N63" s="570"/>
      <c r="O63" s="570"/>
      <c r="P63" s="570"/>
      <c r="Q63" s="570"/>
      <c r="R63" s="570"/>
      <c r="S63" s="570"/>
      <c r="T63" s="570"/>
      <c r="U63" s="570"/>
      <c r="V63" s="570"/>
      <c r="W63" s="570"/>
      <c r="X63" s="570"/>
      <c r="Y63" s="570"/>
      <c r="Z63" s="570"/>
      <c r="AA63" s="570"/>
      <c r="AB63" s="570"/>
      <c r="AC63" s="570"/>
      <c r="AD63" s="570"/>
    </row>
    <row r="64" spans="1:30" x14ac:dyDescent="0.15">
      <c r="A64" s="570"/>
      <c r="B64" s="570"/>
      <c r="C64" s="570"/>
      <c r="D64" s="570"/>
      <c r="E64" s="570"/>
      <c r="F64" s="570"/>
      <c r="G64" s="570"/>
      <c r="H64" s="570"/>
      <c r="I64" s="570"/>
      <c r="J64" s="570"/>
      <c r="K64" s="570"/>
      <c r="L64" s="570"/>
      <c r="M64" s="570"/>
      <c r="N64" s="570"/>
      <c r="O64" s="570"/>
      <c r="P64" s="570"/>
      <c r="Q64" s="570"/>
      <c r="R64" s="570"/>
      <c r="S64" s="570"/>
      <c r="T64" s="570"/>
      <c r="U64" s="570"/>
      <c r="V64" s="570"/>
      <c r="W64" s="570"/>
      <c r="X64" s="570"/>
      <c r="Y64" s="570"/>
      <c r="Z64" s="570"/>
      <c r="AA64" s="570"/>
      <c r="AB64" s="570"/>
      <c r="AC64" s="570"/>
      <c r="AD64" s="570"/>
    </row>
    <row r="65" spans="1:30" x14ac:dyDescent="0.15">
      <c r="A65" s="570"/>
      <c r="B65" s="570"/>
      <c r="C65" s="570"/>
      <c r="D65" s="570"/>
      <c r="E65" s="570"/>
      <c r="F65" s="570"/>
      <c r="G65" s="570"/>
      <c r="H65" s="570"/>
      <c r="I65" s="570"/>
      <c r="J65" s="570"/>
      <c r="K65" s="570"/>
      <c r="L65" s="570"/>
      <c r="M65" s="570"/>
      <c r="N65" s="570"/>
      <c r="O65" s="570"/>
      <c r="P65" s="570"/>
      <c r="Q65" s="570"/>
      <c r="R65" s="570"/>
      <c r="S65" s="570"/>
      <c r="T65" s="570"/>
      <c r="U65" s="570"/>
      <c r="V65" s="570"/>
      <c r="W65" s="570"/>
      <c r="X65" s="570"/>
      <c r="Y65" s="570"/>
      <c r="Z65" s="570"/>
      <c r="AA65" s="570"/>
      <c r="AB65" s="570"/>
      <c r="AC65" s="570"/>
      <c r="AD65" s="570"/>
    </row>
    <row r="66" spans="1:30" x14ac:dyDescent="0.15">
      <c r="A66" s="570"/>
      <c r="B66" s="570"/>
      <c r="C66" s="570"/>
      <c r="D66" s="570"/>
      <c r="E66" s="570"/>
      <c r="F66" s="570"/>
      <c r="G66" s="570"/>
      <c r="H66" s="570"/>
      <c r="I66" s="570"/>
      <c r="J66" s="570"/>
      <c r="K66" s="570"/>
      <c r="L66" s="570"/>
      <c r="M66" s="570"/>
      <c r="N66" s="570"/>
      <c r="O66" s="570"/>
      <c r="P66" s="570"/>
      <c r="Q66" s="570"/>
      <c r="R66" s="570"/>
      <c r="S66" s="570"/>
      <c r="T66" s="570"/>
      <c r="U66" s="570"/>
      <c r="V66" s="570"/>
      <c r="W66" s="570"/>
      <c r="X66" s="570"/>
      <c r="Y66" s="570"/>
      <c r="Z66" s="570"/>
      <c r="AA66" s="570"/>
      <c r="AB66" s="570"/>
      <c r="AC66" s="570"/>
      <c r="AD66" s="570"/>
    </row>
    <row r="67" spans="1:30" x14ac:dyDescent="0.15">
      <c r="A67" s="570"/>
      <c r="B67" s="570"/>
      <c r="C67" s="570"/>
      <c r="D67" s="570"/>
      <c r="E67" s="570"/>
      <c r="F67" s="570"/>
      <c r="G67" s="570"/>
      <c r="H67" s="570"/>
      <c r="I67" s="570"/>
      <c r="J67" s="570"/>
      <c r="K67" s="570"/>
      <c r="L67" s="570"/>
      <c r="M67" s="570"/>
      <c r="N67" s="570"/>
      <c r="O67" s="570"/>
      <c r="P67" s="570"/>
      <c r="Q67" s="570"/>
      <c r="R67" s="570"/>
      <c r="S67" s="570"/>
      <c r="T67" s="570"/>
      <c r="U67" s="570"/>
      <c r="V67" s="570"/>
      <c r="W67" s="570"/>
      <c r="X67" s="570"/>
      <c r="Y67" s="570"/>
      <c r="Z67" s="570"/>
      <c r="AA67" s="570"/>
      <c r="AB67" s="570"/>
      <c r="AC67" s="570"/>
      <c r="AD67" s="570"/>
    </row>
    <row r="68" spans="1:30" x14ac:dyDescent="0.15">
      <c r="A68" s="570"/>
      <c r="B68" s="570"/>
      <c r="C68" s="570"/>
      <c r="D68" s="570"/>
      <c r="E68" s="570"/>
      <c r="F68" s="570"/>
      <c r="G68" s="570"/>
      <c r="H68" s="570"/>
      <c r="I68" s="570"/>
      <c r="J68" s="570"/>
      <c r="K68" s="570"/>
      <c r="L68" s="570"/>
      <c r="M68" s="570"/>
      <c r="N68" s="570"/>
      <c r="O68" s="570"/>
      <c r="P68" s="570"/>
      <c r="Q68" s="570"/>
      <c r="R68" s="570"/>
      <c r="S68" s="570"/>
      <c r="T68" s="570"/>
      <c r="U68" s="570"/>
      <c r="V68" s="570"/>
      <c r="W68" s="570"/>
      <c r="X68" s="570"/>
      <c r="Y68" s="570"/>
      <c r="Z68" s="570"/>
      <c r="AA68" s="570"/>
      <c r="AB68" s="570"/>
      <c r="AC68" s="570"/>
      <c r="AD68" s="570"/>
    </row>
    <row r="69" spans="1:30" x14ac:dyDescent="0.15">
      <c r="A69" s="570"/>
      <c r="B69" s="570"/>
      <c r="C69" s="570"/>
      <c r="D69" s="570"/>
      <c r="E69" s="570"/>
      <c r="F69" s="570"/>
      <c r="G69" s="570"/>
      <c r="H69" s="570"/>
      <c r="I69" s="570"/>
      <c r="J69" s="570"/>
      <c r="K69" s="570"/>
      <c r="L69" s="570"/>
      <c r="M69" s="570"/>
      <c r="N69" s="570"/>
      <c r="O69" s="570"/>
      <c r="P69" s="570"/>
      <c r="Q69" s="570"/>
      <c r="R69" s="570"/>
      <c r="S69" s="570"/>
      <c r="T69" s="570"/>
      <c r="U69" s="570"/>
      <c r="V69" s="570"/>
      <c r="W69" s="570"/>
      <c r="X69" s="570"/>
      <c r="Y69" s="570"/>
      <c r="Z69" s="570"/>
      <c r="AA69" s="570"/>
      <c r="AB69" s="570"/>
      <c r="AC69" s="570"/>
      <c r="AD69" s="570"/>
    </row>
  </sheetData>
  <sheetProtection algorithmName="SHA-512" hashValue="THYx57JK9+m0hO3SsfevqgWH9R+eHR+Evz00LXSaZqTR0wXbvalgm3vomD3FxTZAu1Hq6uB88LolwGzaqDJ53A==" saltValue="ZkRuNYA8nEIH/KnaoJHHaw==" spinCount="100000" sheet="1" objects="1" scenarios="1"/>
  <mergeCells count="4">
    <mergeCell ref="G1:H1"/>
    <mergeCell ref="B9:P10"/>
    <mergeCell ref="B13:P14"/>
    <mergeCell ref="J1:K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F7CC9-C488-C748-B174-0FE555B8B8D3}">
  <sheetPr codeName="Sheet1">
    <tabColor theme="1" tint="0.79998168889431442"/>
  </sheetPr>
  <dimension ref="B2:X101"/>
  <sheetViews>
    <sheetView showGridLines="0" topLeftCell="A4" zoomScale="133" zoomScaleNormal="70" workbookViewId="0">
      <selection activeCell="B12" sqref="B12:L15"/>
    </sheetView>
  </sheetViews>
  <sheetFormatPr baseColWidth="10" defaultColWidth="11.140625" defaultRowHeight="16" x14ac:dyDescent="0.2"/>
  <cols>
    <col min="1" max="1" width="4.7109375" style="82" customWidth="1"/>
    <col min="2" max="4" width="12.28515625" style="82" customWidth="1"/>
    <col min="5" max="5" width="9.5703125" style="82" customWidth="1"/>
    <col min="6" max="6" width="13.5703125" style="82" customWidth="1"/>
    <col min="7" max="7" width="16.42578125" style="82" customWidth="1"/>
    <col min="8" max="8" width="13.7109375" style="82" customWidth="1"/>
    <col min="9" max="9" width="9.140625" style="82" customWidth="1"/>
    <col min="10" max="10" width="15.5703125" style="82" customWidth="1"/>
    <col min="11" max="11" width="12.28515625" style="82" customWidth="1"/>
    <col min="12" max="12" width="13.28515625" style="82" customWidth="1"/>
    <col min="13" max="18" width="12.7109375" style="82" customWidth="1"/>
    <col min="19" max="19" width="16.140625" style="82" customWidth="1"/>
    <col min="20" max="20" width="11" style="82" customWidth="1"/>
    <col min="21" max="21" width="9.28515625" style="82" customWidth="1"/>
    <col min="22" max="22" width="15.5703125" style="82" customWidth="1"/>
    <col min="23" max="26" width="11.5703125" style="82" customWidth="1"/>
    <col min="27" max="16384" width="11.140625" style="82"/>
  </cols>
  <sheetData>
    <row r="2" spans="2:24" x14ac:dyDescent="0.2">
      <c r="H2" s="82" t="s">
        <v>0</v>
      </c>
    </row>
    <row r="3" spans="2:24" ht="20" x14ac:dyDescent="0.2">
      <c r="N3" s="83"/>
      <c r="Q3" s="84"/>
    </row>
    <row r="4" spans="2:24" ht="62.25" customHeight="1" x14ac:dyDescent="0.2">
      <c r="B4" s="352" t="s">
        <v>1</v>
      </c>
      <c r="E4" s="85"/>
      <c r="G4" s="86"/>
      <c r="N4" s="352" t="s">
        <v>2</v>
      </c>
    </row>
    <row r="5" spans="2:24" ht="75" customHeight="1" x14ac:dyDescent="0.2">
      <c r="B5" s="607" t="s">
        <v>3</v>
      </c>
      <c r="C5" s="607"/>
      <c r="D5" s="607"/>
      <c r="E5" s="607"/>
      <c r="F5" s="607"/>
      <c r="G5" s="607"/>
      <c r="H5" s="607"/>
      <c r="I5" s="607"/>
      <c r="J5" s="607"/>
      <c r="K5" s="607"/>
      <c r="L5" s="607"/>
      <c r="N5" s="607" t="s">
        <v>4</v>
      </c>
      <c r="O5" s="607"/>
      <c r="P5" s="607"/>
      <c r="Q5" s="607"/>
      <c r="R5" s="607"/>
      <c r="S5" s="607"/>
      <c r="T5" s="607"/>
      <c r="U5" s="607"/>
      <c r="V5" s="607"/>
      <c r="W5" s="607"/>
      <c r="X5" s="607"/>
    </row>
    <row r="7" spans="2:24" x14ac:dyDescent="0.2">
      <c r="B7" s="584" t="s">
        <v>5</v>
      </c>
      <c r="C7" s="584" t="s">
        <v>6</v>
      </c>
      <c r="D7" s="616" t="s">
        <v>7</v>
      </c>
      <c r="E7" s="617"/>
      <c r="F7" s="585" t="s">
        <v>8</v>
      </c>
      <c r="G7" s="585" t="s">
        <v>9</v>
      </c>
      <c r="H7" s="620" t="s">
        <v>10</v>
      </c>
      <c r="I7" s="621"/>
      <c r="J7" s="583" t="s">
        <v>11</v>
      </c>
      <c r="K7" s="620" t="s">
        <v>12</v>
      </c>
      <c r="L7" s="625"/>
      <c r="M7" s="90"/>
      <c r="N7" s="584" t="s">
        <v>5</v>
      </c>
      <c r="O7" s="584" t="s">
        <v>6</v>
      </c>
      <c r="P7" s="616" t="s">
        <v>7</v>
      </c>
      <c r="Q7" s="617"/>
      <c r="R7" s="585" t="s">
        <v>8</v>
      </c>
      <c r="S7" s="585" t="s">
        <v>9</v>
      </c>
      <c r="T7" s="620" t="s">
        <v>10</v>
      </c>
      <c r="U7" s="621"/>
      <c r="V7" s="583" t="s">
        <v>11</v>
      </c>
      <c r="W7" s="620" t="s">
        <v>12</v>
      </c>
      <c r="X7" s="625"/>
    </row>
    <row r="8" spans="2:24" ht="8.25" customHeight="1" x14ac:dyDescent="0.2">
      <c r="B8" s="581"/>
      <c r="C8" s="581"/>
      <c r="D8" s="581"/>
      <c r="E8" s="90"/>
      <c r="F8" s="581"/>
      <c r="G8" s="581"/>
      <c r="H8" s="581"/>
      <c r="I8" s="90"/>
      <c r="J8" s="581"/>
      <c r="K8" s="581"/>
      <c r="L8" s="90"/>
      <c r="M8" s="90"/>
      <c r="N8" s="581"/>
      <c r="O8" s="581"/>
      <c r="P8" s="581"/>
      <c r="Q8" s="90"/>
      <c r="R8" s="581"/>
      <c r="S8" s="581"/>
      <c r="T8" s="581"/>
      <c r="U8" s="90"/>
      <c r="V8" s="581"/>
      <c r="W8" s="581"/>
      <c r="X8" s="90"/>
    </row>
    <row r="9" spans="2:24" ht="47.25" customHeight="1" x14ac:dyDescent="0.2">
      <c r="B9" s="635" t="s">
        <v>13</v>
      </c>
      <c r="C9" s="635"/>
      <c r="D9" s="618" t="s">
        <v>14</v>
      </c>
      <c r="E9" s="619"/>
      <c r="F9" s="582" t="s">
        <v>15</v>
      </c>
      <c r="G9" s="582" t="s">
        <v>16</v>
      </c>
      <c r="H9" s="622" t="s">
        <v>17</v>
      </c>
      <c r="I9" s="623"/>
      <c r="J9" s="580" t="s">
        <v>17</v>
      </c>
      <c r="K9" s="622" t="s">
        <v>17</v>
      </c>
      <c r="L9" s="624"/>
      <c r="M9" s="90"/>
      <c r="N9" s="635" t="s">
        <v>18</v>
      </c>
      <c r="O9" s="635"/>
      <c r="P9" s="618" t="s">
        <v>19</v>
      </c>
      <c r="Q9" s="619"/>
      <c r="R9" s="582" t="s">
        <v>20</v>
      </c>
      <c r="S9" s="582" t="s">
        <v>21</v>
      </c>
      <c r="T9" s="622" t="s">
        <v>22</v>
      </c>
      <c r="U9" s="623"/>
      <c r="V9" s="580" t="s">
        <v>22</v>
      </c>
      <c r="W9" s="622" t="s">
        <v>22</v>
      </c>
      <c r="X9" s="624"/>
    </row>
    <row r="10" spans="2:24" ht="17" thickBot="1" x14ac:dyDescent="0.25"/>
    <row r="11" spans="2:24" ht="40" customHeight="1" x14ac:dyDescent="0.25">
      <c r="B11" s="87" t="s">
        <v>23</v>
      </c>
      <c r="C11" s="88"/>
      <c r="D11" s="88"/>
      <c r="E11" s="88"/>
      <c r="F11" s="88"/>
      <c r="G11" s="88"/>
      <c r="H11" s="88"/>
      <c r="I11" s="88"/>
      <c r="J11" s="88"/>
      <c r="K11" s="88"/>
      <c r="L11" s="89"/>
      <c r="N11" s="87" t="s">
        <v>23</v>
      </c>
      <c r="O11" s="88"/>
      <c r="P11" s="88"/>
      <c r="Q11" s="88"/>
      <c r="R11" s="88"/>
      <c r="S11" s="88"/>
      <c r="T11" s="88"/>
      <c r="U11" s="88"/>
      <c r="V11" s="88"/>
      <c r="W11" s="88"/>
      <c r="X11" s="89"/>
    </row>
    <row r="12" spans="2:24" ht="187" customHeight="1" x14ac:dyDescent="0.2">
      <c r="B12" s="601" t="s">
        <v>801</v>
      </c>
      <c r="C12" s="602"/>
      <c r="D12" s="602"/>
      <c r="E12" s="602"/>
      <c r="F12" s="602"/>
      <c r="G12" s="602"/>
      <c r="H12" s="602"/>
      <c r="I12" s="602"/>
      <c r="J12" s="602"/>
      <c r="K12" s="602"/>
      <c r="L12" s="603"/>
      <c r="N12" s="601" t="s">
        <v>802</v>
      </c>
      <c r="O12" s="602"/>
      <c r="P12" s="602"/>
      <c r="Q12" s="602"/>
      <c r="R12" s="602"/>
      <c r="S12" s="602"/>
      <c r="T12" s="602"/>
      <c r="U12" s="602"/>
      <c r="V12" s="602"/>
      <c r="W12" s="602"/>
      <c r="X12" s="603"/>
    </row>
    <row r="13" spans="2:24" ht="30" customHeight="1" x14ac:dyDescent="0.2">
      <c r="B13" s="601"/>
      <c r="C13" s="602"/>
      <c r="D13" s="602"/>
      <c r="E13" s="602"/>
      <c r="F13" s="602"/>
      <c r="G13" s="602"/>
      <c r="H13" s="602"/>
      <c r="I13" s="602"/>
      <c r="J13" s="602"/>
      <c r="K13" s="602"/>
      <c r="L13" s="603"/>
      <c r="N13" s="601"/>
      <c r="O13" s="602"/>
      <c r="P13" s="602"/>
      <c r="Q13" s="602"/>
      <c r="R13" s="602"/>
      <c r="S13" s="602"/>
      <c r="T13" s="602"/>
      <c r="U13" s="602"/>
      <c r="V13" s="602"/>
      <c r="W13" s="602"/>
      <c r="X13" s="603"/>
    </row>
    <row r="14" spans="2:24" ht="30" customHeight="1" x14ac:dyDescent="0.2">
      <c r="B14" s="601"/>
      <c r="C14" s="602"/>
      <c r="D14" s="602"/>
      <c r="E14" s="602"/>
      <c r="F14" s="602"/>
      <c r="G14" s="602"/>
      <c r="H14" s="602"/>
      <c r="I14" s="602"/>
      <c r="J14" s="602"/>
      <c r="K14" s="602"/>
      <c r="L14" s="603"/>
      <c r="N14" s="601"/>
      <c r="O14" s="602"/>
      <c r="P14" s="602"/>
      <c r="Q14" s="602"/>
      <c r="R14" s="602"/>
      <c r="S14" s="602"/>
      <c r="T14" s="602"/>
      <c r="U14" s="602"/>
      <c r="V14" s="602"/>
      <c r="W14" s="602"/>
      <c r="X14" s="603"/>
    </row>
    <row r="15" spans="2:24" ht="30" customHeight="1" thickBot="1" x14ac:dyDescent="0.25">
      <c r="B15" s="604"/>
      <c r="C15" s="605"/>
      <c r="D15" s="605"/>
      <c r="E15" s="605"/>
      <c r="F15" s="605"/>
      <c r="G15" s="605"/>
      <c r="H15" s="605"/>
      <c r="I15" s="605"/>
      <c r="J15" s="605"/>
      <c r="K15" s="605"/>
      <c r="L15" s="606"/>
      <c r="N15" s="604"/>
      <c r="O15" s="605"/>
      <c r="P15" s="605"/>
      <c r="Q15" s="605"/>
      <c r="R15" s="605"/>
      <c r="S15" s="605"/>
      <c r="T15" s="605"/>
      <c r="U15" s="605"/>
      <c r="V15" s="605"/>
      <c r="W15" s="605"/>
      <c r="X15" s="606"/>
    </row>
    <row r="16" spans="2:24" ht="30" customHeight="1" x14ac:dyDescent="0.2">
      <c r="B16" s="91"/>
      <c r="C16" s="91"/>
      <c r="D16" s="91"/>
      <c r="E16" s="91"/>
      <c r="F16" s="91"/>
      <c r="G16" s="91"/>
      <c r="H16" s="91"/>
      <c r="I16" s="91"/>
      <c r="J16" s="91"/>
      <c r="K16" s="91"/>
      <c r="L16" s="91"/>
      <c r="N16" s="91"/>
      <c r="O16" s="91"/>
      <c r="P16" s="91"/>
      <c r="Q16" s="91"/>
      <c r="R16" s="91"/>
      <c r="S16" s="91"/>
      <c r="T16" s="91"/>
      <c r="U16" s="91"/>
      <c r="V16" s="91"/>
      <c r="W16" s="91"/>
      <c r="X16" s="91"/>
    </row>
    <row r="17" spans="2:24" ht="32.5" customHeight="1" x14ac:dyDescent="0.2">
      <c r="B17" s="608" t="s">
        <v>24</v>
      </c>
      <c r="C17" s="608"/>
      <c r="D17" s="608"/>
      <c r="E17" s="608"/>
      <c r="F17" s="608"/>
      <c r="G17" s="608"/>
      <c r="H17" s="608"/>
      <c r="I17" s="608"/>
      <c r="J17" s="608"/>
      <c r="K17" s="608"/>
      <c r="L17" s="608"/>
      <c r="N17" s="608" t="s">
        <v>25</v>
      </c>
      <c r="O17" s="608"/>
      <c r="P17" s="608"/>
      <c r="Q17" s="608"/>
      <c r="R17" s="608"/>
      <c r="S17" s="608"/>
      <c r="T17" s="608"/>
      <c r="U17" s="608"/>
      <c r="V17" s="608"/>
      <c r="W17" s="608"/>
      <c r="X17" s="608"/>
    </row>
    <row r="18" spans="2:24" ht="22.5" customHeight="1" x14ac:dyDescent="0.2">
      <c r="B18" s="609" t="s">
        <v>26</v>
      </c>
      <c r="C18" s="609"/>
      <c r="D18" s="609"/>
      <c r="E18" s="609"/>
      <c r="F18" s="609"/>
      <c r="G18" s="609"/>
      <c r="H18" s="609"/>
      <c r="I18" s="609"/>
      <c r="J18" s="609"/>
      <c r="K18" s="609"/>
      <c r="L18" s="609"/>
      <c r="N18" s="609" t="s">
        <v>27</v>
      </c>
      <c r="O18" s="609"/>
      <c r="P18" s="609"/>
      <c r="Q18" s="609"/>
      <c r="R18" s="609"/>
      <c r="S18" s="609"/>
      <c r="T18" s="609"/>
      <c r="U18" s="609"/>
      <c r="V18" s="609"/>
      <c r="W18" s="609"/>
      <c r="X18" s="609"/>
    </row>
    <row r="19" spans="2:24" ht="19" thickBot="1" x14ac:dyDescent="0.25">
      <c r="B19" s="92"/>
      <c r="C19" s="92"/>
      <c r="D19" s="92"/>
      <c r="E19" s="92"/>
      <c r="F19" s="92"/>
      <c r="G19" s="92"/>
      <c r="H19" s="92"/>
      <c r="I19" s="92"/>
      <c r="J19" s="92"/>
      <c r="K19" s="92"/>
      <c r="L19" s="92"/>
      <c r="N19" s="92"/>
      <c r="O19" s="92"/>
      <c r="P19" s="92"/>
      <c r="Q19" s="92"/>
      <c r="R19" s="92"/>
      <c r="S19" s="92"/>
      <c r="T19" s="92"/>
      <c r="U19" s="92"/>
      <c r="V19" s="92"/>
      <c r="W19" s="92"/>
      <c r="X19" s="92"/>
    </row>
    <row r="20" spans="2:24" ht="32.25" customHeight="1" x14ac:dyDescent="0.2">
      <c r="B20" s="613" t="s">
        <v>28</v>
      </c>
      <c r="C20" s="614"/>
      <c r="D20" s="614"/>
      <c r="E20" s="614"/>
      <c r="F20" s="614"/>
      <c r="G20" s="614"/>
      <c r="H20" s="614"/>
      <c r="I20" s="614"/>
      <c r="J20" s="614"/>
      <c r="K20" s="614"/>
      <c r="L20" s="615"/>
      <c r="N20" s="613" t="s">
        <v>29</v>
      </c>
      <c r="O20" s="614"/>
      <c r="P20" s="614"/>
      <c r="Q20" s="614"/>
      <c r="R20" s="614"/>
      <c r="S20" s="614"/>
      <c r="T20" s="614"/>
      <c r="U20" s="614"/>
      <c r="V20" s="614"/>
      <c r="W20" s="614"/>
      <c r="X20" s="615"/>
    </row>
    <row r="21" spans="2:24" x14ac:dyDescent="0.2">
      <c r="B21" s="595" t="s">
        <v>30</v>
      </c>
      <c r="C21" s="596"/>
      <c r="D21" s="596"/>
      <c r="E21" s="596"/>
      <c r="F21" s="596"/>
      <c r="G21" s="596"/>
      <c r="H21" s="596"/>
      <c r="I21" s="596"/>
      <c r="J21" s="596"/>
      <c r="K21" s="596"/>
      <c r="L21" s="597"/>
      <c r="N21" s="595" t="s">
        <v>31</v>
      </c>
      <c r="O21" s="596"/>
      <c r="P21" s="596"/>
      <c r="Q21" s="596"/>
      <c r="R21" s="596"/>
      <c r="S21" s="596"/>
      <c r="T21" s="596"/>
      <c r="U21" s="596"/>
      <c r="V21" s="596"/>
      <c r="W21" s="596"/>
      <c r="X21" s="597"/>
    </row>
    <row r="22" spans="2:24" ht="16.5" customHeight="1" thickBot="1" x14ac:dyDescent="0.25">
      <c r="B22" s="610" t="s">
        <v>32</v>
      </c>
      <c r="C22" s="611"/>
      <c r="D22" s="611"/>
      <c r="E22" s="611"/>
      <c r="F22" s="611"/>
      <c r="G22" s="611"/>
      <c r="H22" s="611"/>
      <c r="I22" s="611"/>
      <c r="J22" s="611"/>
      <c r="K22" s="611"/>
      <c r="L22" s="612"/>
      <c r="N22" s="610" t="s">
        <v>33</v>
      </c>
      <c r="O22" s="611"/>
      <c r="P22" s="611"/>
      <c r="Q22" s="611"/>
      <c r="R22" s="611"/>
      <c r="S22" s="611"/>
      <c r="T22" s="611"/>
      <c r="U22" s="611"/>
      <c r="V22" s="611"/>
      <c r="W22" s="611"/>
      <c r="X22" s="612"/>
    </row>
    <row r="23" spans="2:24" ht="17" thickBot="1" x14ac:dyDescent="0.25">
      <c r="B23" s="94"/>
      <c r="C23" s="94"/>
      <c r="D23" s="94"/>
      <c r="E23" s="94"/>
      <c r="F23" s="94"/>
      <c r="G23" s="94"/>
      <c r="H23" s="94"/>
      <c r="I23" s="94"/>
      <c r="J23" s="94"/>
      <c r="K23" s="94"/>
      <c r="L23" s="94"/>
      <c r="N23" s="94"/>
      <c r="O23" s="94"/>
      <c r="P23" s="94"/>
      <c r="Q23" s="94"/>
      <c r="R23" s="94"/>
      <c r="S23" s="94"/>
      <c r="T23" s="94"/>
      <c r="U23" s="94"/>
      <c r="V23" s="94"/>
      <c r="W23" s="94"/>
      <c r="X23" s="94"/>
    </row>
    <row r="24" spans="2:24" ht="32.25" customHeight="1" x14ac:dyDescent="0.2">
      <c r="B24" s="613" t="s">
        <v>6</v>
      </c>
      <c r="C24" s="614"/>
      <c r="D24" s="614"/>
      <c r="E24" s="614"/>
      <c r="F24" s="614"/>
      <c r="G24" s="614"/>
      <c r="H24" s="614"/>
      <c r="I24" s="614"/>
      <c r="J24" s="614"/>
      <c r="K24" s="614"/>
      <c r="L24" s="615"/>
      <c r="N24" s="613" t="s">
        <v>6</v>
      </c>
      <c r="O24" s="614"/>
      <c r="P24" s="614"/>
      <c r="Q24" s="614"/>
      <c r="R24" s="614"/>
      <c r="S24" s="614"/>
      <c r="T24" s="614"/>
      <c r="U24" s="614"/>
      <c r="V24" s="614"/>
      <c r="W24" s="614"/>
      <c r="X24" s="615"/>
    </row>
    <row r="25" spans="2:24" ht="48" customHeight="1" x14ac:dyDescent="0.2">
      <c r="B25" s="598" t="s">
        <v>34</v>
      </c>
      <c r="C25" s="599"/>
      <c r="D25" s="599"/>
      <c r="E25" s="599"/>
      <c r="F25" s="599"/>
      <c r="G25" s="599"/>
      <c r="H25" s="599"/>
      <c r="I25" s="599"/>
      <c r="J25" s="599"/>
      <c r="K25" s="599"/>
      <c r="L25" s="600"/>
      <c r="N25" s="629" t="s">
        <v>35</v>
      </c>
      <c r="O25" s="599"/>
      <c r="P25" s="599"/>
      <c r="Q25" s="599"/>
      <c r="R25" s="599"/>
      <c r="S25" s="599"/>
      <c r="T25" s="599"/>
      <c r="U25" s="599"/>
      <c r="V25" s="599"/>
      <c r="W25" s="599"/>
      <c r="X25" s="600"/>
    </row>
    <row r="26" spans="2:24" ht="15.75" customHeight="1" thickBot="1" x14ac:dyDescent="0.25">
      <c r="B26" s="610" t="s">
        <v>36</v>
      </c>
      <c r="C26" s="611"/>
      <c r="D26" s="611"/>
      <c r="E26" s="611"/>
      <c r="F26" s="611"/>
      <c r="G26" s="611"/>
      <c r="H26" s="611"/>
      <c r="I26" s="611"/>
      <c r="J26" s="611"/>
      <c r="K26" s="611"/>
      <c r="L26" s="612"/>
      <c r="N26" s="610" t="s">
        <v>37</v>
      </c>
      <c r="O26" s="611"/>
      <c r="P26" s="611"/>
      <c r="Q26" s="611"/>
      <c r="R26" s="611"/>
      <c r="S26" s="611"/>
      <c r="T26" s="611"/>
      <c r="U26" s="611"/>
      <c r="V26" s="611"/>
      <c r="W26" s="611"/>
      <c r="X26" s="612"/>
    </row>
    <row r="27" spans="2:24" ht="15.75" customHeight="1" thickBot="1" x14ac:dyDescent="0.25">
      <c r="B27" s="93"/>
      <c r="C27" s="93"/>
      <c r="D27" s="93"/>
      <c r="E27" s="93"/>
      <c r="F27" s="93"/>
      <c r="G27" s="93"/>
      <c r="H27" s="93"/>
      <c r="I27" s="93"/>
      <c r="J27" s="93"/>
      <c r="K27" s="93"/>
      <c r="L27" s="93"/>
      <c r="N27" s="93"/>
      <c r="O27" s="93"/>
      <c r="P27" s="93"/>
      <c r="Q27" s="93"/>
      <c r="R27" s="93"/>
      <c r="S27" s="93"/>
      <c r="T27" s="93"/>
      <c r="U27" s="93"/>
      <c r="V27" s="93"/>
      <c r="W27" s="93"/>
      <c r="X27" s="93"/>
    </row>
    <row r="28" spans="2:24" ht="32.25" customHeight="1" x14ac:dyDescent="0.2">
      <c r="B28" s="613" t="s">
        <v>771</v>
      </c>
      <c r="C28" s="614"/>
      <c r="D28" s="614"/>
      <c r="E28" s="614"/>
      <c r="F28" s="614"/>
      <c r="G28" s="614"/>
      <c r="H28" s="614"/>
      <c r="I28" s="614"/>
      <c r="J28" s="614"/>
      <c r="K28" s="614"/>
      <c r="L28" s="615"/>
      <c r="N28" s="613" t="s">
        <v>38</v>
      </c>
      <c r="O28" s="614"/>
      <c r="P28" s="614"/>
      <c r="Q28" s="614"/>
      <c r="R28" s="614"/>
      <c r="S28" s="614"/>
      <c r="T28" s="614"/>
      <c r="U28" s="614"/>
      <c r="V28" s="614"/>
      <c r="W28" s="614"/>
      <c r="X28" s="615"/>
    </row>
    <row r="29" spans="2:24" x14ac:dyDescent="0.2">
      <c r="B29" s="595" t="s">
        <v>39</v>
      </c>
      <c r="C29" s="596"/>
      <c r="D29" s="596"/>
      <c r="E29" s="596"/>
      <c r="F29" s="596"/>
      <c r="G29" s="596"/>
      <c r="H29" s="596"/>
      <c r="I29" s="596"/>
      <c r="J29" s="596"/>
      <c r="K29" s="596"/>
      <c r="L29" s="597"/>
      <c r="N29" s="595" t="s">
        <v>40</v>
      </c>
      <c r="O29" s="596"/>
      <c r="P29" s="596"/>
      <c r="Q29" s="596"/>
      <c r="R29" s="596"/>
      <c r="S29" s="596"/>
      <c r="T29" s="596"/>
      <c r="U29" s="596"/>
      <c r="V29" s="596"/>
      <c r="W29" s="596"/>
      <c r="X29" s="597"/>
    </row>
    <row r="30" spans="2:24" x14ac:dyDescent="0.2">
      <c r="B30" s="595" t="s">
        <v>32</v>
      </c>
      <c r="C30" s="596"/>
      <c r="D30" s="596"/>
      <c r="E30" s="596"/>
      <c r="F30" s="596"/>
      <c r="G30" s="596"/>
      <c r="H30" s="596"/>
      <c r="I30" s="596"/>
      <c r="J30" s="596"/>
      <c r="K30" s="596"/>
      <c r="L30" s="597"/>
      <c r="N30" s="595" t="s">
        <v>41</v>
      </c>
      <c r="O30" s="596"/>
      <c r="P30" s="596"/>
      <c r="Q30" s="596"/>
      <c r="R30" s="596"/>
      <c r="S30" s="596"/>
      <c r="T30" s="596"/>
      <c r="U30" s="596"/>
      <c r="V30" s="596"/>
      <c r="W30" s="596"/>
      <c r="X30" s="597"/>
    </row>
    <row r="31" spans="2:24" x14ac:dyDescent="0.2">
      <c r="B31" s="595" t="s">
        <v>42</v>
      </c>
      <c r="C31" s="596"/>
      <c r="D31" s="596"/>
      <c r="E31" s="596"/>
      <c r="F31" s="596"/>
      <c r="G31" s="596"/>
      <c r="H31" s="596"/>
      <c r="I31" s="596"/>
      <c r="J31" s="596"/>
      <c r="K31" s="596"/>
      <c r="L31" s="597"/>
      <c r="N31" s="595" t="s">
        <v>43</v>
      </c>
      <c r="O31" s="596"/>
      <c r="P31" s="596"/>
      <c r="Q31" s="596"/>
      <c r="R31" s="596"/>
      <c r="S31" s="596"/>
      <c r="T31" s="596"/>
      <c r="U31" s="596"/>
      <c r="V31" s="596"/>
      <c r="W31" s="596"/>
      <c r="X31" s="597"/>
    </row>
    <row r="32" spans="2:24" x14ac:dyDescent="0.2">
      <c r="B32" s="595" t="s">
        <v>44</v>
      </c>
      <c r="C32" s="596"/>
      <c r="D32" s="596"/>
      <c r="E32" s="596"/>
      <c r="F32" s="596"/>
      <c r="G32" s="596"/>
      <c r="H32" s="596"/>
      <c r="I32" s="596"/>
      <c r="J32" s="596"/>
      <c r="K32" s="596"/>
      <c r="L32" s="597"/>
      <c r="N32" s="589" t="s">
        <v>45</v>
      </c>
      <c r="O32" s="596"/>
      <c r="P32" s="596"/>
      <c r="Q32" s="596"/>
      <c r="R32" s="596"/>
      <c r="S32" s="596"/>
      <c r="T32" s="596"/>
      <c r="U32" s="596"/>
      <c r="V32" s="596"/>
      <c r="W32" s="596"/>
      <c r="X32" s="597"/>
    </row>
    <row r="33" spans="2:24" x14ac:dyDescent="0.2">
      <c r="B33" s="589" t="s">
        <v>803</v>
      </c>
      <c r="C33" s="590"/>
      <c r="D33" s="590"/>
      <c r="E33" s="590"/>
      <c r="F33" s="590"/>
      <c r="G33" s="590"/>
      <c r="H33" s="590"/>
      <c r="I33" s="590"/>
      <c r="J33" s="590"/>
      <c r="K33" s="590"/>
      <c r="L33" s="591"/>
      <c r="N33" s="589" t="s">
        <v>46</v>
      </c>
      <c r="O33" s="590"/>
      <c r="P33" s="590"/>
      <c r="Q33" s="590"/>
      <c r="R33" s="590"/>
      <c r="S33" s="590"/>
      <c r="T33" s="590"/>
      <c r="U33" s="590"/>
      <c r="V33" s="590"/>
      <c r="W33" s="590"/>
      <c r="X33" s="591"/>
    </row>
    <row r="34" spans="2:24" x14ac:dyDescent="0.2">
      <c r="B34" s="589" t="s">
        <v>804</v>
      </c>
      <c r="C34" s="590"/>
      <c r="D34" s="590"/>
      <c r="E34" s="590"/>
      <c r="F34" s="590"/>
      <c r="G34" s="590"/>
      <c r="H34" s="590"/>
      <c r="I34" s="590"/>
      <c r="J34" s="590"/>
      <c r="K34" s="590"/>
      <c r="L34" s="591"/>
      <c r="N34" s="589" t="s">
        <v>47</v>
      </c>
      <c r="O34" s="590"/>
      <c r="P34" s="590"/>
      <c r="Q34" s="590"/>
      <c r="R34" s="590"/>
      <c r="S34" s="590"/>
      <c r="T34" s="590"/>
      <c r="U34" s="590"/>
      <c r="V34" s="590"/>
      <c r="W34" s="590"/>
      <c r="X34" s="591"/>
    </row>
    <row r="35" spans="2:24" x14ac:dyDescent="0.2">
      <c r="B35" s="589" t="s">
        <v>48</v>
      </c>
      <c r="C35" s="590"/>
      <c r="D35" s="590"/>
      <c r="E35" s="590"/>
      <c r="F35" s="590"/>
      <c r="G35" s="590"/>
      <c r="H35" s="590"/>
      <c r="I35" s="590"/>
      <c r="J35" s="590"/>
      <c r="K35" s="590"/>
      <c r="L35" s="591"/>
      <c r="N35" s="589" t="s">
        <v>49</v>
      </c>
      <c r="O35" s="590"/>
      <c r="P35" s="590"/>
      <c r="Q35" s="590"/>
      <c r="R35" s="590"/>
      <c r="S35" s="590"/>
      <c r="T35" s="590"/>
      <c r="U35" s="590"/>
      <c r="V35" s="590"/>
      <c r="W35" s="590"/>
      <c r="X35" s="591"/>
    </row>
    <row r="36" spans="2:24" x14ac:dyDescent="0.2">
      <c r="B36" s="589" t="s">
        <v>50</v>
      </c>
      <c r="C36" s="590"/>
      <c r="D36" s="590"/>
      <c r="E36" s="590"/>
      <c r="F36" s="590"/>
      <c r="G36" s="590"/>
      <c r="H36" s="590"/>
      <c r="I36" s="590"/>
      <c r="J36" s="590"/>
      <c r="K36" s="590"/>
      <c r="L36" s="591"/>
      <c r="N36" s="589" t="s">
        <v>51</v>
      </c>
      <c r="O36" s="590"/>
      <c r="P36" s="590"/>
      <c r="Q36" s="590"/>
      <c r="R36" s="590"/>
      <c r="S36" s="590"/>
      <c r="T36" s="590"/>
      <c r="U36" s="590"/>
      <c r="V36" s="590"/>
      <c r="W36" s="590"/>
      <c r="X36" s="591"/>
    </row>
    <row r="37" spans="2:24" x14ac:dyDescent="0.2">
      <c r="B37" s="589" t="s">
        <v>52</v>
      </c>
      <c r="C37" s="590"/>
      <c r="D37" s="590"/>
      <c r="E37" s="590"/>
      <c r="F37" s="590"/>
      <c r="G37" s="590"/>
      <c r="H37" s="590"/>
      <c r="I37" s="590"/>
      <c r="J37" s="590"/>
      <c r="K37" s="590"/>
      <c r="L37" s="591"/>
      <c r="N37" s="589" t="s">
        <v>53</v>
      </c>
      <c r="O37" s="590"/>
      <c r="P37" s="590"/>
      <c r="Q37" s="590"/>
      <c r="R37" s="590"/>
      <c r="S37" s="590"/>
      <c r="T37" s="590"/>
      <c r="U37" s="590"/>
      <c r="V37" s="590"/>
      <c r="W37" s="590"/>
      <c r="X37" s="591"/>
    </row>
    <row r="38" spans="2:24" x14ac:dyDescent="0.2">
      <c r="B38" s="589" t="s">
        <v>54</v>
      </c>
      <c r="C38" s="590"/>
      <c r="D38" s="590"/>
      <c r="E38" s="590"/>
      <c r="F38" s="590"/>
      <c r="G38" s="590"/>
      <c r="H38" s="590"/>
      <c r="I38" s="590"/>
      <c r="J38" s="590"/>
      <c r="K38" s="590"/>
      <c r="L38" s="591"/>
      <c r="N38" s="589" t="s">
        <v>55</v>
      </c>
      <c r="O38" s="590"/>
      <c r="P38" s="590"/>
      <c r="Q38" s="590"/>
      <c r="R38" s="590"/>
      <c r="S38" s="590"/>
      <c r="T38" s="590"/>
      <c r="U38" s="590"/>
      <c r="V38" s="590"/>
      <c r="W38" s="590"/>
      <c r="X38" s="591"/>
    </row>
    <row r="39" spans="2:24" ht="16.5" customHeight="1" thickBot="1" x14ac:dyDescent="0.25">
      <c r="B39" s="626" t="s">
        <v>56</v>
      </c>
      <c r="C39" s="627"/>
      <c r="D39" s="627"/>
      <c r="E39" s="627"/>
      <c r="F39" s="627"/>
      <c r="G39" s="627"/>
      <c r="H39" s="627"/>
      <c r="I39" s="627"/>
      <c r="J39" s="627"/>
      <c r="K39" s="627"/>
      <c r="L39" s="628"/>
      <c r="N39" s="626" t="s">
        <v>57</v>
      </c>
      <c r="O39" s="627"/>
      <c r="P39" s="627"/>
      <c r="Q39" s="627"/>
      <c r="R39" s="627"/>
      <c r="S39" s="627"/>
      <c r="T39" s="627"/>
      <c r="U39" s="627"/>
      <c r="V39" s="627"/>
      <c r="W39" s="627"/>
      <c r="X39" s="628"/>
    </row>
    <row r="40" spans="2:24" ht="17" thickBot="1" x14ac:dyDescent="0.25">
      <c r="B40" s="94"/>
      <c r="C40" s="94"/>
      <c r="D40" s="94"/>
      <c r="E40" s="94"/>
      <c r="F40" s="94"/>
      <c r="G40" s="94"/>
      <c r="H40" s="94"/>
      <c r="I40" s="94"/>
      <c r="J40" s="94"/>
      <c r="K40" s="94"/>
      <c r="L40" s="94"/>
      <c r="N40" s="94"/>
      <c r="O40" s="94"/>
      <c r="P40" s="94"/>
      <c r="Q40" s="94"/>
      <c r="R40" s="94"/>
      <c r="S40" s="94"/>
      <c r="T40" s="94"/>
      <c r="U40" s="94"/>
      <c r="V40" s="94"/>
      <c r="W40" s="94"/>
      <c r="X40" s="94"/>
    </row>
    <row r="41" spans="2:24" ht="32.25" customHeight="1" x14ac:dyDescent="0.2">
      <c r="B41" s="613" t="s">
        <v>772</v>
      </c>
      <c r="C41" s="614"/>
      <c r="D41" s="614"/>
      <c r="E41" s="614"/>
      <c r="F41" s="614"/>
      <c r="G41" s="614"/>
      <c r="H41" s="614"/>
      <c r="I41" s="614"/>
      <c r="J41" s="614"/>
      <c r="K41" s="614"/>
      <c r="L41" s="615"/>
      <c r="N41" s="613" t="s">
        <v>58</v>
      </c>
      <c r="O41" s="614"/>
      <c r="P41" s="614"/>
      <c r="Q41" s="614"/>
      <c r="R41" s="614"/>
      <c r="S41" s="614"/>
      <c r="T41" s="614"/>
      <c r="U41" s="614"/>
      <c r="V41" s="614"/>
      <c r="W41" s="614"/>
      <c r="X41" s="615"/>
    </row>
    <row r="42" spans="2:24" ht="31.5" customHeight="1" x14ac:dyDescent="0.2">
      <c r="B42" s="598" t="s">
        <v>805</v>
      </c>
      <c r="C42" s="599"/>
      <c r="D42" s="599"/>
      <c r="E42" s="599"/>
      <c r="F42" s="599"/>
      <c r="G42" s="599"/>
      <c r="H42" s="599"/>
      <c r="I42" s="599"/>
      <c r="J42" s="599"/>
      <c r="K42" s="599"/>
      <c r="L42" s="600"/>
      <c r="N42" s="598" t="s">
        <v>59</v>
      </c>
      <c r="O42" s="599"/>
      <c r="P42" s="599"/>
      <c r="Q42" s="599"/>
      <c r="R42" s="599"/>
      <c r="S42" s="599"/>
      <c r="T42" s="599"/>
      <c r="U42" s="599"/>
      <c r="V42" s="599"/>
      <c r="W42" s="599"/>
      <c r="X42" s="600"/>
    </row>
    <row r="43" spans="2:24" x14ac:dyDescent="0.2">
      <c r="B43" s="595" t="s">
        <v>806</v>
      </c>
      <c r="C43" s="596"/>
      <c r="D43" s="596"/>
      <c r="E43" s="596"/>
      <c r="F43" s="596"/>
      <c r="G43" s="596"/>
      <c r="H43" s="596"/>
      <c r="I43" s="596"/>
      <c r="J43" s="596"/>
      <c r="K43" s="596"/>
      <c r="L43" s="597"/>
      <c r="N43" s="595" t="s">
        <v>60</v>
      </c>
      <c r="O43" s="596"/>
      <c r="P43" s="596"/>
      <c r="Q43" s="596"/>
      <c r="R43" s="596"/>
      <c r="S43" s="596"/>
      <c r="T43" s="596"/>
      <c r="U43" s="596"/>
      <c r="V43" s="596"/>
      <c r="W43" s="596"/>
      <c r="X43" s="597"/>
    </row>
    <row r="44" spans="2:24" x14ac:dyDescent="0.2">
      <c r="B44" s="598" t="s">
        <v>808</v>
      </c>
      <c r="C44" s="599"/>
      <c r="D44" s="599"/>
      <c r="E44" s="599"/>
      <c r="F44" s="599"/>
      <c r="G44" s="599"/>
      <c r="H44" s="599"/>
      <c r="I44" s="599"/>
      <c r="J44" s="599"/>
      <c r="K44" s="599"/>
      <c r="L44" s="600"/>
      <c r="N44" s="598" t="s">
        <v>809</v>
      </c>
      <c r="O44" s="599"/>
      <c r="P44" s="599"/>
      <c r="Q44" s="599"/>
      <c r="R44" s="599"/>
      <c r="S44" s="599"/>
      <c r="T44" s="599"/>
      <c r="U44" s="599"/>
      <c r="V44" s="599"/>
      <c r="W44" s="599"/>
      <c r="X44" s="600"/>
    </row>
    <row r="45" spans="2:24" x14ac:dyDescent="0.2">
      <c r="B45" s="595" t="s">
        <v>61</v>
      </c>
      <c r="C45" s="596"/>
      <c r="D45" s="596"/>
      <c r="E45" s="596"/>
      <c r="F45" s="596"/>
      <c r="G45" s="596"/>
      <c r="H45" s="596"/>
      <c r="I45" s="596"/>
      <c r="J45" s="596"/>
      <c r="K45" s="596"/>
      <c r="L45" s="597"/>
      <c r="N45" s="595" t="s">
        <v>807</v>
      </c>
      <c r="O45" s="596"/>
      <c r="P45" s="596"/>
      <c r="Q45" s="596"/>
      <c r="R45" s="596"/>
      <c r="S45" s="596"/>
      <c r="T45" s="596"/>
      <c r="U45" s="596"/>
      <c r="V45" s="596"/>
      <c r="W45" s="596"/>
      <c r="X45" s="597"/>
    </row>
    <row r="46" spans="2:24" x14ac:dyDescent="0.2">
      <c r="B46" s="589" t="s">
        <v>62</v>
      </c>
      <c r="C46" s="590"/>
      <c r="D46" s="590"/>
      <c r="E46" s="590"/>
      <c r="F46" s="590"/>
      <c r="G46" s="590"/>
      <c r="H46" s="590"/>
      <c r="I46" s="590"/>
      <c r="J46" s="590"/>
      <c r="K46" s="590"/>
      <c r="L46" s="591"/>
      <c r="N46" s="589" t="s">
        <v>63</v>
      </c>
      <c r="O46" s="590"/>
      <c r="P46" s="590"/>
      <c r="Q46" s="590"/>
      <c r="R46" s="590"/>
      <c r="S46" s="590"/>
      <c r="T46" s="590"/>
      <c r="U46" s="590"/>
      <c r="V46" s="590"/>
      <c r="W46" s="590"/>
      <c r="X46" s="591"/>
    </row>
    <row r="47" spans="2:24" x14ac:dyDescent="0.2">
      <c r="B47" s="589" t="s">
        <v>64</v>
      </c>
      <c r="C47" s="590"/>
      <c r="D47" s="590"/>
      <c r="E47" s="590"/>
      <c r="F47" s="590"/>
      <c r="G47" s="590"/>
      <c r="H47" s="590"/>
      <c r="I47" s="590"/>
      <c r="J47" s="590"/>
      <c r="K47" s="590"/>
      <c r="L47" s="591"/>
      <c r="N47" s="589" t="s">
        <v>65</v>
      </c>
      <c r="O47" s="590"/>
      <c r="P47" s="590"/>
      <c r="Q47" s="590"/>
      <c r="R47" s="590"/>
      <c r="S47" s="590"/>
      <c r="T47" s="590"/>
      <c r="U47" s="590"/>
      <c r="V47" s="590"/>
      <c r="W47" s="590"/>
      <c r="X47" s="591"/>
    </row>
    <row r="48" spans="2:24" x14ac:dyDescent="0.2">
      <c r="B48" s="589" t="s">
        <v>66</v>
      </c>
      <c r="C48" s="590"/>
      <c r="D48" s="590"/>
      <c r="E48" s="590"/>
      <c r="F48" s="590"/>
      <c r="G48" s="590"/>
      <c r="H48" s="590"/>
      <c r="I48" s="590"/>
      <c r="J48" s="590"/>
      <c r="K48" s="590"/>
      <c r="L48" s="591"/>
      <c r="N48" s="589" t="s">
        <v>67</v>
      </c>
      <c r="O48" s="590"/>
      <c r="P48" s="590"/>
      <c r="Q48" s="590"/>
      <c r="R48" s="590"/>
      <c r="S48" s="590"/>
      <c r="T48" s="590"/>
      <c r="U48" s="590"/>
      <c r="V48" s="590"/>
      <c r="W48" s="590"/>
      <c r="X48" s="591"/>
    </row>
    <row r="49" spans="2:24" ht="31.5" customHeight="1" x14ac:dyDescent="0.2">
      <c r="B49" s="592" t="s">
        <v>68</v>
      </c>
      <c r="C49" s="593"/>
      <c r="D49" s="593"/>
      <c r="E49" s="593"/>
      <c r="F49" s="593"/>
      <c r="G49" s="593"/>
      <c r="H49" s="593"/>
      <c r="I49" s="593"/>
      <c r="J49" s="593"/>
      <c r="K49" s="593"/>
      <c r="L49" s="594"/>
      <c r="N49" s="592" t="s">
        <v>69</v>
      </c>
      <c r="O49" s="593"/>
      <c r="P49" s="593"/>
      <c r="Q49" s="593"/>
      <c r="R49" s="593"/>
      <c r="S49" s="593"/>
      <c r="T49" s="593"/>
      <c r="U49" s="593"/>
      <c r="V49" s="593"/>
      <c r="W49" s="593"/>
      <c r="X49" s="594"/>
    </row>
    <row r="50" spans="2:24" x14ac:dyDescent="0.2">
      <c r="B50" s="589" t="s">
        <v>70</v>
      </c>
      <c r="C50" s="590"/>
      <c r="D50" s="590"/>
      <c r="E50" s="590"/>
      <c r="F50" s="590"/>
      <c r="G50" s="590"/>
      <c r="H50" s="590"/>
      <c r="I50" s="590"/>
      <c r="J50" s="590"/>
      <c r="K50" s="590"/>
      <c r="L50" s="591"/>
      <c r="N50" s="589" t="s">
        <v>71</v>
      </c>
      <c r="O50" s="590"/>
      <c r="P50" s="590"/>
      <c r="Q50" s="590"/>
      <c r="R50" s="590"/>
      <c r="S50" s="590"/>
      <c r="T50" s="590"/>
      <c r="U50" s="590"/>
      <c r="V50" s="590"/>
      <c r="W50" s="590"/>
      <c r="X50" s="591"/>
    </row>
    <row r="51" spans="2:24" x14ac:dyDescent="0.2">
      <c r="B51" s="589" t="s">
        <v>72</v>
      </c>
      <c r="C51" s="590"/>
      <c r="D51" s="590"/>
      <c r="E51" s="590"/>
      <c r="F51" s="590"/>
      <c r="G51" s="590"/>
      <c r="H51" s="590"/>
      <c r="I51" s="590"/>
      <c r="J51" s="590"/>
      <c r="K51" s="590"/>
      <c r="L51" s="591"/>
      <c r="N51" s="589" t="s">
        <v>73</v>
      </c>
      <c r="O51" s="590"/>
      <c r="P51" s="590"/>
      <c r="Q51" s="590"/>
      <c r="R51" s="590"/>
      <c r="S51" s="590"/>
      <c r="T51" s="590"/>
      <c r="U51" s="590"/>
      <c r="V51" s="590"/>
      <c r="W51" s="590"/>
      <c r="X51" s="591"/>
    </row>
    <row r="52" spans="2:24" x14ac:dyDescent="0.2">
      <c r="B52" s="589" t="s">
        <v>74</v>
      </c>
      <c r="C52" s="590"/>
      <c r="D52" s="590"/>
      <c r="E52" s="590"/>
      <c r="F52" s="590"/>
      <c r="G52" s="590"/>
      <c r="H52" s="590"/>
      <c r="I52" s="590"/>
      <c r="J52" s="590"/>
      <c r="K52" s="590"/>
      <c r="L52" s="591"/>
      <c r="N52" s="589" t="s">
        <v>75</v>
      </c>
      <c r="O52" s="590"/>
      <c r="P52" s="590"/>
      <c r="Q52" s="590"/>
      <c r="R52" s="590"/>
      <c r="S52" s="590"/>
      <c r="T52" s="590"/>
      <c r="U52" s="590"/>
      <c r="V52" s="590"/>
      <c r="W52" s="590"/>
      <c r="X52" s="591"/>
    </row>
    <row r="53" spans="2:24" ht="16.5" customHeight="1" thickBot="1" x14ac:dyDescent="0.25">
      <c r="B53" s="626" t="s">
        <v>76</v>
      </c>
      <c r="C53" s="627"/>
      <c r="D53" s="627"/>
      <c r="E53" s="627"/>
      <c r="F53" s="627"/>
      <c r="G53" s="627"/>
      <c r="H53" s="627"/>
      <c r="I53" s="627"/>
      <c r="J53" s="627"/>
      <c r="K53" s="627"/>
      <c r="L53" s="628"/>
      <c r="N53" s="626" t="s">
        <v>77</v>
      </c>
      <c r="O53" s="627"/>
      <c r="P53" s="627"/>
      <c r="Q53" s="627"/>
      <c r="R53" s="627"/>
      <c r="S53" s="627"/>
      <c r="T53" s="627"/>
      <c r="U53" s="627"/>
      <c r="V53" s="627"/>
      <c r="W53" s="627"/>
      <c r="X53" s="628"/>
    </row>
    <row r="54" spans="2:24" ht="17" thickBot="1" x14ac:dyDescent="0.25">
      <c r="B54" s="95"/>
      <c r="C54" s="94"/>
      <c r="D54" s="94"/>
      <c r="E54" s="94"/>
      <c r="F54" s="94"/>
      <c r="G54" s="94"/>
      <c r="H54" s="94"/>
      <c r="I54" s="94"/>
      <c r="J54" s="94"/>
      <c r="K54" s="94"/>
      <c r="L54" s="94"/>
      <c r="N54" s="95"/>
      <c r="O54" s="94"/>
      <c r="P54" s="94"/>
      <c r="Q54" s="94"/>
      <c r="R54" s="94"/>
      <c r="S54" s="94"/>
      <c r="T54" s="94"/>
      <c r="U54" s="94"/>
      <c r="V54" s="94"/>
      <c r="W54" s="94"/>
      <c r="X54" s="94"/>
    </row>
    <row r="55" spans="2:24" ht="32.25" customHeight="1" x14ac:dyDescent="0.2">
      <c r="B55" s="613" t="s">
        <v>78</v>
      </c>
      <c r="C55" s="614"/>
      <c r="D55" s="614"/>
      <c r="E55" s="614"/>
      <c r="F55" s="614"/>
      <c r="G55" s="614"/>
      <c r="H55" s="614"/>
      <c r="I55" s="614"/>
      <c r="J55" s="614"/>
      <c r="K55" s="614"/>
      <c r="L55" s="615"/>
      <c r="N55" s="613" t="s">
        <v>79</v>
      </c>
      <c r="O55" s="614"/>
      <c r="P55" s="614"/>
      <c r="Q55" s="614"/>
      <c r="R55" s="614"/>
      <c r="S55" s="614"/>
      <c r="T55" s="614"/>
      <c r="U55" s="614"/>
      <c r="V55" s="614"/>
      <c r="W55" s="614"/>
      <c r="X55" s="615"/>
    </row>
    <row r="56" spans="2:24" ht="61" customHeight="1" x14ac:dyDescent="0.2">
      <c r="B56" s="598" t="s">
        <v>80</v>
      </c>
      <c r="C56" s="599"/>
      <c r="D56" s="599"/>
      <c r="E56" s="599"/>
      <c r="F56" s="599"/>
      <c r="G56" s="599"/>
      <c r="H56" s="599"/>
      <c r="I56" s="599"/>
      <c r="J56" s="599"/>
      <c r="K56" s="599"/>
      <c r="L56" s="600"/>
      <c r="N56" s="598" t="s">
        <v>81</v>
      </c>
      <c r="O56" s="599"/>
      <c r="P56" s="599"/>
      <c r="Q56" s="599"/>
      <c r="R56" s="599"/>
      <c r="S56" s="599"/>
      <c r="T56" s="599"/>
      <c r="U56" s="599"/>
      <c r="V56" s="599"/>
      <c r="W56" s="599"/>
      <c r="X56" s="600"/>
    </row>
    <row r="57" spans="2:24" x14ac:dyDescent="0.2">
      <c r="B57" s="595" t="s">
        <v>82</v>
      </c>
      <c r="C57" s="596"/>
      <c r="D57" s="596"/>
      <c r="E57" s="596"/>
      <c r="F57" s="596"/>
      <c r="G57" s="596"/>
      <c r="H57" s="596"/>
      <c r="I57" s="596"/>
      <c r="J57" s="596"/>
      <c r="K57" s="596"/>
      <c r="L57" s="597"/>
      <c r="N57" s="595" t="s">
        <v>83</v>
      </c>
      <c r="O57" s="596"/>
      <c r="P57" s="596"/>
      <c r="Q57" s="596"/>
      <c r="R57" s="596"/>
      <c r="S57" s="596"/>
      <c r="T57" s="596"/>
      <c r="U57" s="596"/>
      <c r="V57" s="596"/>
      <c r="W57" s="596"/>
      <c r="X57" s="597"/>
    </row>
    <row r="58" spans="2:24" x14ac:dyDescent="0.2">
      <c r="B58" s="595" t="s">
        <v>84</v>
      </c>
      <c r="C58" s="596"/>
      <c r="D58" s="596"/>
      <c r="E58" s="596"/>
      <c r="F58" s="596"/>
      <c r="G58" s="596"/>
      <c r="H58" s="596"/>
      <c r="I58" s="596"/>
      <c r="J58" s="596"/>
      <c r="K58" s="596"/>
      <c r="L58" s="597"/>
      <c r="N58" s="595" t="s">
        <v>85</v>
      </c>
      <c r="O58" s="596"/>
      <c r="P58" s="596"/>
      <c r="Q58" s="596"/>
      <c r="R58" s="596"/>
      <c r="S58" s="596"/>
      <c r="T58" s="596"/>
      <c r="U58" s="596"/>
      <c r="V58" s="596"/>
      <c r="W58" s="596"/>
      <c r="X58" s="597"/>
    </row>
    <row r="59" spans="2:24" ht="30" customHeight="1" thickBot="1" x14ac:dyDescent="0.25">
      <c r="B59" s="626" t="s">
        <v>86</v>
      </c>
      <c r="C59" s="627"/>
      <c r="D59" s="627"/>
      <c r="E59" s="627"/>
      <c r="F59" s="627"/>
      <c r="G59" s="627"/>
      <c r="H59" s="627"/>
      <c r="I59" s="627"/>
      <c r="J59" s="627"/>
      <c r="K59" s="627"/>
      <c r="L59" s="628"/>
      <c r="N59" s="632" t="s">
        <v>87</v>
      </c>
      <c r="O59" s="627"/>
      <c r="P59" s="627"/>
      <c r="Q59" s="627"/>
      <c r="R59" s="627"/>
      <c r="S59" s="627"/>
      <c r="T59" s="627"/>
      <c r="U59" s="627"/>
      <c r="V59" s="627"/>
      <c r="W59" s="627"/>
      <c r="X59" s="628"/>
    </row>
    <row r="60" spans="2:24" x14ac:dyDescent="0.2">
      <c r="B60" s="95"/>
      <c r="C60" s="94"/>
      <c r="D60" s="94"/>
      <c r="E60" s="94"/>
      <c r="F60" s="94"/>
      <c r="G60" s="94"/>
      <c r="H60" s="94"/>
      <c r="I60" s="94"/>
      <c r="J60" s="94"/>
      <c r="K60" s="94"/>
      <c r="L60" s="94"/>
      <c r="N60" s="95"/>
      <c r="O60" s="94"/>
      <c r="P60" s="94"/>
      <c r="Q60" s="94"/>
      <c r="R60" s="94"/>
      <c r="S60" s="94"/>
      <c r="T60" s="94"/>
      <c r="U60" s="94"/>
      <c r="V60" s="94"/>
      <c r="W60" s="94"/>
      <c r="X60" s="94"/>
    </row>
    <row r="61" spans="2:24" ht="17" thickBot="1" x14ac:dyDescent="0.25">
      <c r="B61" s="95"/>
      <c r="C61" s="94"/>
      <c r="D61" s="94"/>
      <c r="E61" s="94"/>
      <c r="F61" s="94"/>
      <c r="G61" s="94"/>
      <c r="H61" s="94"/>
      <c r="I61" s="94"/>
      <c r="J61" s="94"/>
      <c r="K61" s="94"/>
      <c r="L61" s="94"/>
      <c r="N61" s="95"/>
      <c r="O61" s="94"/>
      <c r="P61" s="94"/>
      <c r="Q61" s="94"/>
      <c r="R61" s="94"/>
      <c r="S61" s="94"/>
      <c r="T61" s="94"/>
      <c r="U61" s="94"/>
      <c r="V61" s="94"/>
      <c r="W61" s="94"/>
      <c r="X61" s="94"/>
    </row>
    <row r="62" spans="2:24" ht="32.25" customHeight="1" x14ac:dyDescent="0.2">
      <c r="B62" s="613" t="s">
        <v>10</v>
      </c>
      <c r="C62" s="614"/>
      <c r="D62" s="614"/>
      <c r="E62" s="614"/>
      <c r="F62" s="614"/>
      <c r="G62" s="614"/>
      <c r="H62" s="614"/>
      <c r="I62" s="614"/>
      <c r="J62" s="614"/>
      <c r="K62" s="614"/>
      <c r="L62" s="615"/>
      <c r="N62" s="613" t="s">
        <v>88</v>
      </c>
      <c r="O62" s="614"/>
      <c r="P62" s="614"/>
      <c r="Q62" s="614"/>
      <c r="R62" s="614"/>
      <c r="S62" s="614"/>
      <c r="T62" s="614"/>
      <c r="U62" s="614"/>
      <c r="V62" s="614"/>
      <c r="W62" s="614"/>
      <c r="X62" s="615"/>
    </row>
    <row r="63" spans="2:24" ht="44.25" customHeight="1" x14ac:dyDescent="0.2">
      <c r="B63" s="598" t="s">
        <v>89</v>
      </c>
      <c r="C63" s="599"/>
      <c r="D63" s="599"/>
      <c r="E63" s="599"/>
      <c r="F63" s="599"/>
      <c r="G63" s="599"/>
      <c r="H63" s="599"/>
      <c r="I63" s="599"/>
      <c r="J63" s="599"/>
      <c r="K63" s="599"/>
      <c r="L63" s="600"/>
      <c r="N63" s="598" t="s">
        <v>90</v>
      </c>
      <c r="O63" s="599"/>
      <c r="P63" s="599"/>
      <c r="Q63" s="599"/>
      <c r="R63" s="599"/>
      <c r="S63" s="599"/>
      <c r="T63" s="599"/>
      <c r="U63" s="599"/>
      <c r="V63" s="599"/>
      <c r="W63" s="599"/>
      <c r="X63" s="600"/>
    </row>
    <row r="64" spans="2:24" x14ac:dyDescent="0.2">
      <c r="B64" s="629" t="s">
        <v>91</v>
      </c>
      <c r="C64" s="630"/>
      <c r="D64" s="630"/>
      <c r="E64" s="630"/>
      <c r="F64" s="630"/>
      <c r="G64" s="630"/>
      <c r="H64" s="630"/>
      <c r="I64" s="630"/>
      <c r="J64" s="630"/>
      <c r="K64" s="630"/>
      <c r="L64" s="631"/>
      <c r="N64" s="598" t="s">
        <v>92</v>
      </c>
      <c r="O64" s="599"/>
      <c r="P64" s="599"/>
      <c r="Q64" s="599"/>
      <c r="R64" s="599"/>
      <c r="S64" s="599"/>
      <c r="T64" s="599"/>
      <c r="U64" s="599"/>
      <c r="V64" s="599"/>
      <c r="W64" s="599"/>
      <c r="X64" s="600"/>
    </row>
    <row r="65" spans="2:24" x14ac:dyDescent="0.2">
      <c r="B65" s="589" t="s">
        <v>93</v>
      </c>
      <c r="C65" s="590"/>
      <c r="D65" s="590"/>
      <c r="E65" s="590"/>
      <c r="F65" s="590"/>
      <c r="G65" s="590"/>
      <c r="H65" s="590"/>
      <c r="I65" s="590"/>
      <c r="J65" s="590"/>
      <c r="K65" s="590"/>
      <c r="L65" s="591"/>
      <c r="N65" s="589" t="s">
        <v>94</v>
      </c>
      <c r="O65" s="590"/>
      <c r="P65" s="590"/>
      <c r="Q65" s="590"/>
      <c r="R65" s="590"/>
      <c r="S65" s="590"/>
      <c r="T65" s="590"/>
      <c r="U65" s="590"/>
      <c r="V65" s="590"/>
      <c r="W65" s="590"/>
      <c r="X65" s="591"/>
    </row>
    <row r="66" spans="2:24" ht="17" thickBot="1" x14ac:dyDescent="0.25">
      <c r="B66" s="626" t="s">
        <v>95</v>
      </c>
      <c r="C66" s="627"/>
      <c r="D66" s="627"/>
      <c r="E66" s="627"/>
      <c r="F66" s="627"/>
      <c r="G66" s="627"/>
      <c r="H66" s="627"/>
      <c r="I66" s="627"/>
      <c r="J66" s="627"/>
      <c r="K66" s="627"/>
      <c r="L66" s="628"/>
      <c r="N66" s="626" t="s">
        <v>96</v>
      </c>
      <c r="O66" s="627"/>
      <c r="P66" s="627"/>
      <c r="Q66" s="627"/>
      <c r="R66" s="627"/>
      <c r="S66" s="627"/>
      <c r="T66" s="627"/>
      <c r="U66" s="627"/>
      <c r="V66" s="627"/>
      <c r="W66" s="627"/>
      <c r="X66" s="628"/>
    </row>
    <row r="67" spans="2:24" ht="16.5" customHeight="1" x14ac:dyDescent="0.2"/>
    <row r="68" spans="2:24" ht="17" thickBot="1" x14ac:dyDescent="0.25">
      <c r="B68" s="95"/>
      <c r="C68" s="94"/>
      <c r="D68" s="94"/>
      <c r="E68" s="94"/>
      <c r="F68" s="94"/>
      <c r="G68" s="94"/>
      <c r="H68" s="94"/>
      <c r="I68" s="94"/>
      <c r="J68" s="94"/>
      <c r="K68" s="94"/>
      <c r="L68" s="94"/>
      <c r="N68" s="95"/>
      <c r="O68" s="94"/>
      <c r="P68" s="94"/>
      <c r="Q68" s="94"/>
      <c r="R68" s="94"/>
      <c r="S68" s="94"/>
      <c r="T68" s="94"/>
      <c r="U68" s="94"/>
      <c r="V68" s="94"/>
      <c r="W68" s="94"/>
      <c r="X68" s="94"/>
    </row>
    <row r="69" spans="2:24" ht="32.25" customHeight="1" x14ac:dyDescent="0.2">
      <c r="B69" s="613" t="s">
        <v>97</v>
      </c>
      <c r="C69" s="614"/>
      <c r="D69" s="614"/>
      <c r="E69" s="614"/>
      <c r="F69" s="614"/>
      <c r="G69" s="614"/>
      <c r="H69" s="614"/>
      <c r="I69" s="614"/>
      <c r="J69" s="614"/>
      <c r="K69" s="614"/>
      <c r="L69" s="615"/>
      <c r="N69" s="613" t="s">
        <v>98</v>
      </c>
      <c r="O69" s="614"/>
      <c r="P69" s="614"/>
      <c r="Q69" s="614"/>
      <c r="R69" s="614"/>
      <c r="S69" s="614"/>
      <c r="T69" s="614"/>
      <c r="U69" s="614"/>
      <c r="V69" s="614"/>
      <c r="W69" s="614"/>
      <c r="X69" s="615"/>
    </row>
    <row r="70" spans="2:24" ht="58" customHeight="1" x14ac:dyDescent="0.2">
      <c r="B70" s="592" t="s">
        <v>99</v>
      </c>
      <c r="C70" s="590"/>
      <c r="D70" s="590"/>
      <c r="E70" s="590"/>
      <c r="F70" s="590"/>
      <c r="G70" s="590"/>
      <c r="H70" s="590"/>
      <c r="I70" s="590"/>
      <c r="J70" s="590"/>
      <c r="K70" s="590"/>
      <c r="L70" s="591"/>
      <c r="N70" s="592" t="s">
        <v>100</v>
      </c>
      <c r="O70" s="593"/>
      <c r="P70" s="593"/>
      <c r="Q70" s="593"/>
      <c r="R70" s="593"/>
      <c r="S70" s="593"/>
      <c r="T70" s="593"/>
      <c r="U70" s="593"/>
      <c r="V70" s="593"/>
      <c r="W70" s="593"/>
      <c r="X70" s="594"/>
    </row>
    <row r="71" spans="2:24" x14ac:dyDescent="0.2">
      <c r="B71" s="629" t="s">
        <v>91</v>
      </c>
      <c r="C71" s="630"/>
      <c r="D71" s="630"/>
      <c r="E71" s="630"/>
      <c r="F71" s="630"/>
      <c r="G71" s="630"/>
      <c r="H71" s="630"/>
      <c r="I71" s="630"/>
      <c r="J71" s="630"/>
      <c r="K71" s="630"/>
      <c r="L71" s="631"/>
      <c r="N71" s="598" t="s">
        <v>92</v>
      </c>
      <c r="O71" s="599"/>
      <c r="P71" s="599"/>
      <c r="Q71" s="599"/>
      <c r="R71" s="599"/>
      <c r="S71" s="599"/>
      <c r="T71" s="599"/>
      <c r="U71" s="599"/>
      <c r="V71" s="599"/>
      <c r="W71" s="599"/>
      <c r="X71" s="600"/>
    </row>
    <row r="72" spans="2:24" x14ac:dyDescent="0.2">
      <c r="B72" s="589" t="s">
        <v>101</v>
      </c>
      <c r="C72" s="590"/>
      <c r="D72" s="590"/>
      <c r="E72" s="590"/>
      <c r="F72" s="590"/>
      <c r="G72" s="590"/>
      <c r="H72" s="590"/>
      <c r="I72" s="590"/>
      <c r="J72" s="590"/>
      <c r="K72" s="590"/>
      <c r="L72" s="591"/>
      <c r="N72" s="589" t="s">
        <v>102</v>
      </c>
      <c r="O72" s="590"/>
      <c r="P72" s="590"/>
      <c r="Q72" s="590"/>
      <c r="R72" s="590"/>
      <c r="S72" s="590"/>
      <c r="T72" s="590"/>
      <c r="U72" s="590"/>
      <c r="V72" s="590"/>
      <c r="W72" s="590"/>
      <c r="X72" s="591"/>
    </row>
    <row r="73" spans="2:24" ht="16.5" customHeight="1" x14ac:dyDescent="0.2">
      <c r="B73" s="589" t="s">
        <v>103</v>
      </c>
      <c r="C73" s="590"/>
      <c r="D73" s="590"/>
      <c r="E73" s="590"/>
      <c r="F73" s="590"/>
      <c r="G73" s="590"/>
      <c r="H73" s="590"/>
      <c r="I73" s="590"/>
      <c r="J73" s="590"/>
      <c r="K73" s="590"/>
      <c r="L73" s="591"/>
      <c r="N73" s="589" t="s">
        <v>104</v>
      </c>
      <c r="O73" s="590"/>
      <c r="P73" s="590"/>
      <c r="Q73" s="590"/>
      <c r="R73" s="590"/>
      <c r="S73" s="590"/>
      <c r="T73" s="590"/>
      <c r="U73" s="590"/>
      <c r="V73" s="590"/>
      <c r="W73" s="590"/>
      <c r="X73" s="591"/>
    </row>
    <row r="74" spans="2:24" ht="17" thickBot="1" x14ac:dyDescent="0.25">
      <c r="B74" s="626" t="s">
        <v>105</v>
      </c>
      <c r="C74" s="627"/>
      <c r="D74" s="627"/>
      <c r="E74" s="627"/>
      <c r="F74" s="627"/>
      <c r="G74" s="627"/>
      <c r="H74" s="627"/>
      <c r="I74" s="627"/>
      <c r="J74" s="627"/>
      <c r="K74" s="627"/>
      <c r="L74" s="628"/>
      <c r="N74" s="626" t="s">
        <v>106</v>
      </c>
      <c r="O74" s="627"/>
      <c r="P74" s="627"/>
      <c r="Q74" s="627"/>
      <c r="R74" s="627"/>
      <c r="S74" s="627"/>
      <c r="T74" s="627"/>
      <c r="U74" s="627"/>
      <c r="V74" s="627"/>
      <c r="W74" s="627"/>
      <c r="X74" s="628"/>
    </row>
    <row r="75" spans="2:24" ht="17" thickBot="1" x14ac:dyDescent="0.25">
      <c r="B75" s="95"/>
      <c r="C75" s="94"/>
      <c r="D75" s="94"/>
      <c r="E75" s="94"/>
      <c r="F75" s="94"/>
      <c r="G75" s="94"/>
      <c r="H75" s="94"/>
      <c r="I75" s="94"/>
      <c r="J75" s="94"/>
      <c r="K75" s="94"/>
      <c r="L75" s="94"/>
      <c r="N75" s="95"/>
      <c r="O75" s="94"/>
      <c r="P75" s="94"/>
      <c r="Q75" s="94"/>
      <c r="R75" s="94"/>
      <c r="S75" s="94"/>
      <c r="T75" s="94"/>
      <c r="U75" s="94"/>
      <c r="V75" s="94"/>
      <c r="W75" s="94"/>
      <c r="X75" s="94"/>
    </row>
    <row r="76" spans="2:24" ht="32.25" customHeight="1" x14ac:dyDescent="0.2">
      <c r="B76" s="613" t="s">
        <v>12</v>
      </c>
      <c r="C76" s="614"/>
      <c r="D76" s="614"/>
      <c r="E76" s="614"/>
      <c r="F76" s="614"/>
      <c r="G76" s="614"/>
      <c r="H76" s="614"/>
      <c r="I76" s="614"/>
      <c r="J76" s="614"/>
      <c r="K76" s="614"/>
      <c r="L76" s="615"/>
      <c r="N76" s="613" t="s">
        <v>107</v>
      </c>
      <c r="O76" s="614"/>
      <c r="P76" s="614"/>
      <c r="Q76" s="614"/>
      <c r="R76" s="614"/>
      <c r="S76" s="614"/>
      <c r="T76" s="614"/>
      <c r="U76" s="614"/>
      <c r="V76" s="614"/>
      <c r="W76" s="614"/>
      <c r="X76" s="615"/>
    </row>
    <row r="77" spans="2:24" ht="48" customHeight="1" x14ac:dyDescent="0.2">
      <c r="B77" s="598" t="s">
        <v>108</v>
      </c>
      <c r="C77" s="599"/>
      <c r="D77" s="599"/>
      <c r="E77" s="599"/>
      <c r="F77" s="599"/>
      <c r="G77" s="599"/>
      <c r="H77" s="599"/>
      <c r="I77" s="599"/>
      <c r="J77" s="599"/>
      <c r="K77" s="599"/>
      <c r="L77" s="600"/>
      <c r="N77" s="598" t="s">
        <v>109</v>
      </c>
      <c r="O77" s="599"/>
      <c r="P77" s="599"/>
      <c r="Q77" s="599"/>
      <c r="R77" s="599"/>
      <c r="S77" s="599"/>
      <c r="T77" s="599"/>
      <c r="U77" s="599"/>
      <c r="V77" s="599"/>
      <c r="W77" s="599"/>
      <c r="X77" s="600"/>
    </row>
    <row r="78" spans="2:24" x14ac:dyDescent="0.2">
      <c r="B78" s="629" t="s">
        <v>91</v>
      </c>
      <c r="C78" s="630"/>
      <c r="D78" s="630"/>
      <c r="E78" s="630"/>
      <c r="F78" s="630"/>
      <c r="G78" s="630"/>
      <c r="H78" s="630"/>
      <c r="I78" s="630"/>
      <c r="J78" s="630"/>
      <c r="K78" s="630"/>
      <c r="L78" s="631"/>
      <c r="N78" s="598" t="s">
        <v>92</v>
      </c>
      <c r="O78" s="599"/>
      <c r="P78" s="599"/>
      <c r="Q78" s="599"/>
      <c r="R78" s="599"/>
      <c r="S78" s="599"/>
      <c r="T78" s="599"/>
      <c r="U78" s="599"/>
      <c r="V78" s="599"/>
      <c r="W78" s="599"/>
      <c r="X78" s="600"/>
    </row>
    <row r="79" spans="2:24" ht="27" customHeight="1" thickBot="1" x14ac:dyDescent="0.25">
      <c r="B79" s="626" t="s">
        <v>110</v>
      </c>
      <c r="C79" s="611"/>
      <c r="D79" s="611"/>
      <c r="E79" s="611"/>
      <c r="F79" s="611"/>
      <c r="G79" s="611"/>
      <c r="H79" s="611"/>
      <c r="I79" s="611"/>
      <c r="J79" s="611"/>
      <c r="K79" s="611"/>
      <c r="L79" s="612"/>
      <c r="N79" s="632" t="s">
        <v>111</v>
      </c>
      <c r="O79" s="633"/>
      <c r="P79" s="633"/>
      <c r="Q79" s="633"/>
      <c r="R79" s="633"/>
      <c r="S79" s="633"/>
      <c r="T79" s="633"/>
      <c r="U79" s="633"/>
      <c r="V79" s="633"/>
      <c r="W79" s="633"/>
      <c r="X79" s="634"/>
    </row>
    <row r="81" spans="2:16" x14ac:dyDescent="0.2">
      <c r="B81" s="376" t="s">
        <v>112</v>
      </c>
    </row>
    <row r="89" spans="2:16" x14ac:dyDescent="0.2">
      <c r="P89" s="96"/>
    </row>
    <row r="90" spans="2:16" x14ac:dyDescent="0.2">
      <c r="P90" s="97"/>
    </row>
    <row r="91" spans="2:16" x14ac:dyDescent="0.2">
      <c r="M91" s="85"/>
      <c r="P91" s="96"/>
    </row>
    <row r="92" spans="2:16" x14ac:dyDescent="0.2">
      <c r="P92" s="96"/>
    </row>
    <row r="93" spans="2:16" x14ac:dyDescent="0.2">
      <c r="P93" s="96"/>
    </row>
    <row r="94" spans="2:16" x14ac:dyDescent="0.2">
      <c r="P94" s="96"/>
    </row>
    <row r="97" spans="15:17" x14ac:dyDescent="0.2">
      <c r="O97" s="90"/>
    </row>
    <row r="98" spans="15:17" x14ac:dyDescent="0.2">
      <c r="O98" s="90"/>
      <c r="P98" s="98"/>
      <c r="Q98" s="90"/>
    </row>
    <row r="99" spans="15:17" x14ac:dyDescent="0.2">
      <c r="O99" s="90"/>
      <c r="P99" s="98"/>
      <c r="Q99" s="90"/>
    </row>
    <row r="100" spans="15:17" x14ac:dyDescent="0.2">
      <c r="O100" s="90"/>
      <c r="P100" s="98"/>
      <c r="Q100" s="90"/>
    </row>
    <row r="101" spans="15:17" x14ac:dyDescent="0.2">
      <c r="O101" s="90"/>
      <c r="P101" s="98"/>
      <c r="Q101" s="90"/>
    </row>
  </sheetData>
  <sheetProtection algorithmName="SHA-512" hashValue="GpyHALDTMmUo7PevgqeCuQ5D3q+r17FOXa1Y4EEZXt6HqgtCKdL3nfPeLMQwZ5uzdEJbu7hRi7zDtgmdWMmNLA==" saltValue="PSppRlaseQR/nMhuq7trWg==" spinCount="100000" sheet="1" objects="1" scenarios="1"/>
  <mergeCells count="124">
    <mergeCell ref="N64:X64"/>
    <mergeCell ref="N71:X71"/>
    <mergeCell ref="N78:X78"/>
    <mergeCell ref="N77:X77"/>
    <mergeCell ref="N79:X79"/>
    <mergeCell ref="B9:C9"/>
    <mergeCell ref="N9:O9"/>
    <mergeCell ref="N69:X69"/>
    <mergeCell ref="N63:X63"/>
    <mergeCell ref="N65:X65"/>
    <mergeCell ref="N66:X66"/>
    <mergeCell ref="N76:X76"/>
    <mergeCell ref="N62:X62"/>
    <mergeCell ref="N70:X70"/>
    <mergeCell ref="N72:X72"/>
    <mergeCell ref="N73:X73"/>
    <mergeCell ref="N74:X74"/>
    <mergeCell ref="N55:X55"/>
    <mergeCell ref="N56:X56"/>
    <mergeCell ref="N57:X57"/>
    <mergeCell ref="N58:X58"/>
    <mergeCell ref="N59:X59"/>
    <mergeCell ref="N49:X49"/>
    <mergeCell ref="N50:X50"/>
    <mergeCell ref="N51:X51"/>
    <mergeCell ref="N52:X52"/>
    <mergeCell ref="N53:X53"/>
    <mergeCell ref="N44:X44"/>
    <mergeCell ref="N45:X45"/>
    <mergeCell ref="N46:X46"/>
    <mergeCell ref="N47:X47"/>
    <mergeCell ref="N48:X48"/>
    <mergeCell ref="N38:X38"/>
    <mergeCell ref="N39:X39"/>
    <mergeCell ref="N41:X41"/>
    <mergeCell ref="N42:X42"/>
    <mergeCell ref="N43:X43"/>
    <mergeCell ref="N33:X33"/>
    <mergeCell ref="N34:X34"/>
    <mergeCell ref="N35:X35"/>
    <mergeCell ref="N36:X36"/>
    <mergeCell ref="N37:X37"/>
    <mergeCell ref="N28:X28"/>
    <mergeCell ref="N29:X29"/>
    <mergeCell ref="N30:X30"/>
    <mergeCell ref="N31:X31"/>
    <mergeCell ref="N32:X32"/>
    <mergeCell ref="N21:X21"/>
    <mergeCell ref="N22:X22"/>
    <mergeCell ref="N24:X24"/>
    <mergeCell ref="N25:X25"/>
    <mergeCell ref="N26:X26"/>
    <mergeCell ref="N5:X5"/>
    <mergeCell ref="N12:X15"/>
    <mergeCell ref="N17:X17"/>
    <mergeCell ref="N18:X18"/>
    <mergeCell ref="N20:X20"/>
    <mergeCell ref="P7:Q7"/>
    <mergeCell ref="P9:Q9"/>
    <mergeCell ref="T7:U7"/>
    <mergeCell ref="T9:U9"/>
    <mergeCell ref="W7:X7"/>
    <mergeCell ref="W9:X9"/>
    <mergeCell ref="B77:L77"/>
    <mergeCell ref="B79:L79"/>
    <mergeCell ref="B74:L74"/>
    <mergeCell ref="B69:L69"/>
    <mergeCell ref="B63:L63"/>
    <mergeCell ref="B65:L65"/>
    <mergeCell ref="B66:L66"/>
    <mergeCell ref="B62:L62"/>
    <mergeCell ref="B70:L70"/>
    <mergeCell ref="B72:L72"/>
    <mergeCell ref="B73:L73"/>
    <mergeCell ref="B76:L76"/>
    <mergeCell ref="B64:L64"/>
    <mergeCell ref="B71:L71"/>
    <mergeCell ref="B78:L78"/>
    <mergeCell ref="B56:L56"/>
    <mergeCell ref="B57:L57"/>
    <mergeCell ref="B58:L58"/>
    <mergeCell ref="B59:L59"/>
    <mergeCell ref="B28:L28"/>
    <mergeCell ref="B29:L29"/>
    <mergeCell ref="B30:L30"/>
    <mergeCell ref="B31:L31"/>
    <mergeCell ref="B32:L32"/>
    <mergeCell ref="B33:L33"/>
    <mergeCell ref="B34:L34"/>
    <mergeCell ref="B35:L35"/>
    <mergeCell ref="B36:L36"/>
    <mergeCell ref="B37:L37"/>
    <mergeCell ref="B38:L38"/>
    <mergeCell ref="B39:L39"/>
    <mergeCell ref="B50:L50"/>
    <mergeCell ref="B51:L51"/>
    <mergeCell ref="B52:L52"/>
    <mergeCell ref="B53:L53"/>
    <mergeCell ref="B55:L55"/>
    <mergeCell ref="B45:L45"/>
    <mergeCell ref="B46:L46"/>
    <mergeCell ref="B47:L47"/>
    <mergeCell ref="B48:L48"/>
    <mergeCell ref="B49:L49"/>
    <mergeCell ref="B43:L43"/>
    <mergeCell ref="B44:L44"/>
    <mergeCell ref="B12:L15"/>
    <mergeCell ref="B5:L5"/>
    <mergeCell ref="B17:L17"/>
    <mergeCell ref="B18:L18"/>
    <mergeCell ref="B42:L42"/>
    <mergeCell ref="B21:L21"/>
    <mergeCell ref="B22:L22"/>
    <mergeCell ref="B20:L20"/>
    <mergeCell ref="B24:L24"/>
    <mergeCell ref="B25:L25"/>
    <mergeCell ref="B26:L26"/>
    <mergeCell ref="B41:L41"/>
    <mergeCell ref="D7:E7"/>
    <mergeCell ref="D9:E9"/>
    <mergeCell ref="H7:I7"/>
    <mergeCell ref="H9:I9"/>
    <mergeCell ref="K9:L9"/>
    <mergeCell ref="K7:L7"/>
  </mergeCells>
  <hyperlinks>
    <hyperlink ref="B24" location="Definitions!A1" display="2. Definitions" xr:uid="{1B59AAF7-F992-2B47-A458-5D1ED101D40D}"/>
    <hyperlink ref="B41" location="Inputs!A1" display="4. Inputs sheet: MAIN USER ENTRY POINT. " xr:uid="{DF26F5B6-E236-074E-90AD-99E3C56D62D3}"/>
    <hyperlink ref="B55" location="'F&amp;L_Calculations'!A1" display="4. Fees &amp; Levies Calculations sheet" xr:uid="{E0AE9D3C-7216-7F4C-BE91-82FC77D8D5D5}"/>
    <hyperlink ref="B28" location="'Gov Dashboard'!A1" display="5. Gov Dashboard (MAIN OUTPUT FOR GOVERNMENTS)" xr:uid="{97038697-2C7F-D24C-8032-5491304DA73A}"/>
    <hyperlink ref="B69" location="'Opportunity costs'!A1" display="6. Opportunity costs" xr:uid="{0C58CEC5-C3B3-5E4F-A02F-47A9AB673AD1}"/>
    <hyperlink ref="B62" location="'Gov operational costs'!A1" display="6. Gov operational costs" xr:uid="{ACA605AD-9736-CE47-B243-C9C0E2BFC806}"/>
    <hyperlink ref="B20" location="'User Guide'!B5" display="1. User guide" xr:uid="{205B694A-A8F9-0345-A506-1C67F460C45E}"/>
    <hyperlink ref="B20:L20" location="'1.User Guide'!A1" display="1. User guide" xr:uid="{66D151A6-295D-4AEE-9A5C-4084AABA4BE3}"/>
    <hyperlink ref="B24:L24" location="'2.Definitions'!A1" display="2. Definitions" xr:uid="{CADA9B9F-67AD-4754-86D6-D756A1213691}"/>
    <hyperlink ref="B41:L41" location="'4.Inputs'!A1" display="3. Inputs sheet: MAIN USER ENTRY POINT" xr:uid="{67741C7B-F8B8-4249-A569-BC85362D66D2}"/>
    <hyperlink ref="B55:L55" location="'5.F&amp;L_Calculations'!A1" display="4. Fees &amp; Levies Calculations sheet" xr:uid="{990789FF-9A31-44F2-828A-BF99B4FF0BAF}"/>
    <hyperlink ref="B28:L28" location="'3.Gov Dashboard'!A1" display="5. Gov Dashboard (MAIN OUTPUT FOR GOVERNMENTS)" xr:uid="{EB709E32-1325-4588-A1BA-34E19816D3E5}"/>
    <hyperlink ref="B62:L62" location="'6.Gov operational costs'!A1" display="6. Gov operational costs" xr:uid="{41841E54-3B11-41A3-A547-6A59F0D35A27}"/>
    <hyperlink ref="B69:L69" location="'7.Opportunity costs'!A1" display="7. Opportunity costs" xr:uid="{5DA18D02-15B3-4C05-9B91-A87639DB07E0}"/>
    <hyperlink ref="B76:L76" location="'8.NDC contribution'!A1" display="8. NDC contribution" xr:uid="{2D2C5A81-8545-624E-9D3E-B6B7CE62311B}"/>
    <hyperlink ref="N24" location="Definitions!A1" display="2. Definitions" xr:uid="{7C798198-1F29-2A4E-A163-7A8320EE2678}"/>
    <hyperlink ref="N41" location="Inputs!A1" display="4. Inputs sheet: MAIN USER ENTRY POINT. " xr:uid="{E2E8C0EC-7305-FD48-AAB5-EEB6958B8FAA}"/>
    <hyperlink ref="N55" location="'F&amp;L_Calculations'!A1" display="4. Fees &amp; Levies Calculations sheet" xr:uid="{B0729450-69A4-F44C-9A2F-B42D38F2393F}"/>
    <hyperlink ref="N28" location="'Gov Dashboard'!A1" display="5. Gov Dashboard (MAIN OUTPUT FOR GOVERNMENTS)" xr:uid="{3FC22BF6-E531-4545-B9B5-CCB892C2E3F5}"/>
    <hyperlink ref="N69" location="'Opportunity costs'!A1" display="6. Opportunity costs" xr:uid="{B8993D7C-7324-6447-BA2B-8A40576BA432}"/>
    <hyperlink ref="N62" location="'Gov operational costs'!A1" display="6. Gov operational costs" xr:uid="{297DE4DD-0994-7F45-B3A8-587930D718C8}"/>
    <hyperlink ref="N20" location="'User Guide'!B5" display="1. User guide" xr:uid="{4CF763E2-ED69-3745-9951-A9DC54BBB153}"/>
    <hyperlink ref="N20:X20" location="'1.User Guide'!A1" display="1. User guide" xr:uid="{E61B61C4-6B95-9147-9994-FCFAA5408F8F}"/>
    <hyperlink ref="N24:X24" location="'2.Definitions'!A1" display="2. Definitions" xr:uid="{A73105DC-C5B8-634E-AE7E-B494E610CC25}"/>
    <hyperlink ref="N41:X41" location="'4.Inputs'!A1" display="3. Inputs sheet: MAIN USER ENTRY POINT" xr:uid="{308A5142-9EDF-D843-9C45-CF042F1A9553}"/>
    <hyperlink ref="N55:X55" location="'5.F&amp;L_Calculations'!A1" display="4. Fees &amp; Levies Calculations sheet" xr:uid="{107F8B09-87D1-3040-AA2E-FAE45288EF01}"/>
    <hyperlink ref="N28:X28" location="'3.Gov Dashboard'!A1" display="5. Gov Dashboard (MAIN OUTPUT FOR GOVERNMENTS)" xr:uid="{D09B8A7C-A955-5946-94E0-FB23CA30A5ED}"/>
    <hyperlink ref="N62:X62" location="'6.Gov operational costs'!A1" display="6. Gov operational costs" xr:uid="{DF9B25D2-71F7-0949-B646-EFF4A607CA4A}"/>
    <hyperlink ref="N69:X69" location="'7.Opportunity costs'!A1" display="7. Opportunity costs" xr:uid="{1FF9D2AA-18E5-4541-989A-E7A48C3610BD}"/>
    <hyperlink ref="N76:X76" location="'8.NDC contribution'!A1" display="8. NDC contribution" xr:uid="{DD94B729-27CE-7D41-866A-C34CBED1A882}"/>
    <hyperlink ref="B7" location="'1.User Guide'!A1" display="1. User Guide" xr:uid="{441CA75F-37B8-4B3A-A769-058E50EDBB98}"/>
    <hyperlink ref="N7" location="'1.User Guide'!A1" display="1. User Guide" xr:uid="{D0407E78-56B7-48C2-B1C4-477A693FFEC1}"/>
    <hyperlink ref="C7" location="'2.Definitions'!A1" display="2. Definitions" xr:uid="{CD800AE0-1ECE-4AC2-A45E-02D8BDEC1CD1}"/>
    <hyperlink ref="O7" location="'2.Definitions'!A1" display="2. Definitions" xr:uid="{F64D470F-D4C6-4815-A052-107FE7461792}"/>
    <hyperlink ref="D7:E7" location="'3.Gov Dashboard'!A1" display="3. GovDashboard" xr:uid="{22AEE01B-FCCB-45E4-BC3F-427D8B3BCA6C}"/>
    <hyperlink ref="P7:Q7" location="'3.Gov Dashboard'!A1" display="3. GovDashboard" xr:uid="{4AB01D74-84EA-4DFB-B28C-DBDC09EAB579}"/>
    <hyperlink ref="F7" location="'4.Inputs'!A1" display="4. Inputs" xr:uid="{7344B9A9-DEC2-497A-88AC-E4CDCAE2F030}"/>
    <hyperlink ref="R7" location="'4.Inputs'!A1" display="4. Inputs" xr:uid="{5C41C910-BC31-4E8E-8FC3-76BF704F243B}"/>
    <hyperlink ref="G7" location="'5.F&amp;L_Calculations'!A1" display="5. F&amp;L Calculations" xr:uid="{6E51F6AE-4915-48FB-A664-3BBD552AF444}"/>
    <hyperlink ref="S7" location="'5.F&amp;L_Calculations'!A1" display="5. F&amp;L Calculations" xr:uid="{17D32EDB-DEFF-4926-B3D0-17FCD6EAC7CC}"/>
    <hyperlink ref="H7:I7" location="'6.Gov operational costs'!A1" display="6. Gov operational costs" xr:uid="{84A36A5C-9374-4085-8EF4-03E3AF3140C5}"/>
    <hyperlink ref="T7:U7" location="'6.Gov operational costs'!A1" display="6. Gov operational costs" xr:uid="{0DF05728-68F1-4B74-9BBE-14C50F42A084}"/>
    <hyperlink ref="J7" location="'7.Opportunity costs'!A1" display="7. Opporunity costs" xr:uid="{41CA3CC5-B6B7-43EE-8489-6ACDD2F48A3A}"/>
    <hyperlink ref="V7" location="'7.Opportunity costs'!A1" display="7. Opporunity costs" xr:uid="{57E2765F-B7BD-4E48-A9A2-03B5D51143B1}"/>
    <hyperlink ref="K7:L7" location="'8.NDC contribution'!A1" display="8. NDC contribution" xr:uid="{53369F35-AB2B-4147-A295-308F3D29582E}"/>
    <hyperlink ref="W7:X7" location="'8.NDC contribution'!A1" display="8. NDC contribution" xr:uid="{1BC58566-0BEA-4A65-8C61-CF180B25EB86}"/>
  </hyperlinks>
  <pageMargins left="0.7" right="0.7" top="0.75" bottom="0.75" header="0.3" footer="0.3"/>
  <pageSetup paperSize="9"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F6174-C743-3C41-812C-3256982DD4E1}">
  <sheetPr codeName="Sheet2">
    <tabColor theme="1" tint="0.79998168889431442"/>
  </sheetPr>
  <dimension ref="B2:H51"/>
  <sheetViews>
    <sheetView showGridLines="0" zoomScale="110" zoomScaleNormal="70" workbookViewId="0"/>
  </sheetViews>
  <sheetFormatPr baseColWidth="10" defaultColWidth="11.140625" defaultRowHeight="16" x14ac:dyDescent="0.2"/>
  <cols>
    <col min="1" max="1" width="4.5703125" style="99" customWidth="1"/>
    <col min="2" max="2" width="36.7109375" style="99" bestFit="1" customWidth="1"/>
    <col min="3" max="3" width="117.28515625" style="100" bestFit="1" customWidth="1"/>
    <col min="4" max="4" width="11.140625" style="99"/>
    <col min="5" max="5" width="36.140625" style="99" bestFit="1" customWidth="1"/>
    <col min="6" max="6" width="127" style="100" bestFit="1" customWidth="1"/>
    <col min="7" max="16384" width="11.140625" style="99"/>
  </cols>
  <sheetData>
    <row r="2" spans="2:8" ht="75" customHeight="1" x14ac:dyDescent="0.2">
      <c r="B2" s="636" t="s">
        <v>113</v>
      </c>
      <c r="C2" s="636"/>
      <c r="E2" s="636" t="s">
        <v>114</v>
      </c>
      <c r="F2" s="636"/>
    </row>
    <row r="3" spans="2:8" ht="17.25" customHeight="1" thickBot="1" x14ac:dyDescent="0.25"/>
    <row r="4" spans="2:8" ht="39.75" customHeight="1" thickBot="1" x14ac:dyDescent="0.35">
      <c r="B4" s="101" t="s">
        <v>115</v>
      </c>
      <c r="C4" s="102" t="s">
        <v>116</v>
      </c>
      <c r="E4" s="101" t="s">
        <v>117</v>
      </c>
      <c r="F4" s="102" t="s">
        <v>118</v>
      </c>
      <c r="H4" s="103"/>
    </row>
    <row r="5" spans="2:8" ht="32.25" customHeight="1" x14ac:dyDescent="0.2">
      <c r="B5" s="104" t="s">
        <v>119</v>
      </c>
      <c r="C5" s="105" t="s">
        <v>120</v>
      </c>
      <c r="E5" s="104" t="s">
        <v>121</v>
      </c>
      <c r="F5" s="105" t="s">
        <v>122</v>
      </c>
    </row>
    <row r="6" spans="2:8" ht="32.25" customHeight="1" x14ac:dyDescent="0.2">
      <c r="B6" s="106" t="s">
        <v>123</v>
      </c>
      <c r="C6" s="107" t="s">
        <v>124</v>
      </c>
      <c r="E6" s="106" t="s">
        <v>125</v>
      </c>
      <c r="F6" s="107" t="s">
        <v>126</v>
      </c>
    </row>
    <row r="7" spans="2:8" ht="32.25" customHeight="1" x14ac:dyDescent="0.2">
      <c r="B7" s="106" t="s">
        <v>127</v>
      </c>
      <c r="C7" s="107" t="s">
        <v>128</v>
      </c>
      <c r="E7" s="106" t="s">
        <v>129</v>
      </c>
      <c r="F7" s="107" t="s">
        <v>130</v>
      </c>
    </row>
    <row r="8" spans="2:8" ht="59.5" customHeight="1" x14ac:dyDescent="0.2">
      <c r="B8" s="106" t="s">
        <v>131</v>
      </c>
      <c r="C8" s="107" t="s">
        <v>132</v>
      </c>
      <c r="E8" s="106" t="s">
        <v>133</v>
      </c>
      <c r="F8" s="107" t="s">
        <v>134</v>
      </c>
    </row>
    <row r="9" spans="2:8" ht="48" customHeight="1" x14ac:dyDescent="0.2">
      <c r="B9" s="106" t="s">
        <v>135</v>
      </c>
      <c r="C9" s="107" t="s">
        <v>136</v>
      </c>
      <c r="D9" s="108"/>
      <c r="E9" s="106" t="s">
        <v>137</v>
      </c>
      <c r="F9" s="107" t="s">
        <v>138</v>
      </c>
    </row>
    <row r="10" spans="2:8" x14ac:dyDescent="0.2">
      <c r="B10" s="106" t="s">
        <v>139</v>
      </c>
      <c r="C10" s="107" t="s">
        <v>140</v>
      </c>
      <c r="E10" s="106" t="s">
        <v>141</v>
      </c>
      <c r="F10" s="107" t="s">
        <v>140</v>
      </c>
    </row>
    <row r="11" spans="2:8" ht="30" x14ac:dyDescent="0.2">
      <c r="B11" s="106" t="s">
        <v>142</v>
      </c>
      <c r="C11" s="107" t="s">
        <v>143</v>
      </c>
      <c r="E11" s="106" t="s">
        <v>144</v>
      </c>
      <c r="F11" s="107" t="s">
        <v>145</v>
      </c>
    </row>
    <row r="12" spans="2:8" ht="32.25" customHeight="1" x14ac:dyDescent="0.2">
      <c r="B12" s="106" t="s">
        <v>146</v>
      </c>
      <c r="C12" s="107" t="s">
        <v>147</v>
      </c>
      <c r="E12" s="106" t="s">
        <v>148</v>
      </c>
      <c r="F12" s="107" t="s">
        <v>149</v>
      </c>
    </row>
    <row r="13" spans="2:8" ht="30" x14ac:dyDescent="0.2">
      <c r="B13" s="516" t="s">
        <v>150</v>
      </c>
      <c r="C13" s="517" t="s">
        <v>151</v>
      </c>
      <c r="D13" s="515"/>
      <c r="E13" s="516" t="s">
        <v>152</v>
      </c>
      <c r="F13" s="517" t="s">
        <v>153</v>
      </c>
    </row>
    <row r="14" spans="2:8" ht="30" x14ac:dyDescent="0.2">
      <c r="B14" s="516" t="s">
        <v>154</v>
      </c>
      <c r="C14" s="517" t="s">
        <v>155</v>
      </c>
      <c r="E14" s="516" t="s">
        <v>156</v>
      </c>
      <c r="F14" s="517" t="s">
        <v>157</v>
      </c>
    </row>
    <row r="15" spans="2:8" ht="32" x14ac:dyDescent="0.2">
      <c r="B15" s="106" t="s">
        <v>158</v>
      </c>
      <c r="C15" s="107" t="s">
        <v>159</v>
      </c>
      <c r="E15" s="106" t="s">
        <v>160</v>
      </c>
      <c r="F15" s="107" t="s">
        <v>161</v>
      </c>
    </row>
    <row r="16" spans="2:8" ht="30" x14ac:dyDescent="0.2">
      <c r="B16" s="106" t="s">
        <v>162</v>
      </c>
      <c r="C16" s="107" t="s">
        <v>163</v>
      </c>
      <c r="E16" s="106" t="s">
        <v>164</v>
      </c>
      <c r="F16" s="107" t="s">
        <v>165</v>
      </c>
    </row>
    <row r="17" spans="2:6" ht="31.5" customHeight="1" x14ac:dyDescent="0.2">
      <c r="B17" s="106" t="s">
        <v>166</v>
      </c>
      <c r="C17" s="107" t="s">
        <v>167</v>
      </c>
      <c r="E17" s="106" t="s">
        <v>168</v>
      </c>
      <c r="F17" s="107" t="s">
        <v>169</v>
      </c>
    </row>
    <row r="18" spans="2:6" ht="31.5" customHeight="1" x14ac:dyDescent="0.2">
      <c r="B18" s="516" t="s">
        <v>170</v>
      </c>
      <c r="C18" s="517" t="s">
        <v>171</v>
      </c>
      <c r="E18" s="516" t="s">
        <v>168</v>
      </c>
      <c r="F18" s="517" t="s">
        <v>172</v>
      </c>
    </row>
    <row r="19" spans="2:6" ht="32.25" customHeight="1" x14ac:dyDescent="0.2">
      <c r="B19" s="106" t="s">
        <v>173</v>
      </c>
      <c r="C19" s="107" t="s">
        <v>174</v>
      </c>
      <c r="E19" s="106" t="s">
        <v>175</v>
      </c>
      <c r="F19" s="107" t="s">
        <v>176</v>
      </c>
    </row>
    <row r="20" spans="2:6" x14ac:dyDescent="0.2">
      <c r="B20" s="106" t="s">
        <v>177</v>
      </c>
      <c r="C20" s="107" t="s">
        <v>178</v>
      </c>
      <c r="E20" s="106" t="s">
        <v>179</v>
      </c>
      <c r="F20" s="107" t="s">
        <v>180</v>
      </c>
    </row>
    <row r="21" spans="2:6" ht="30" x14ac:dyDescent="0.2">
      <c r="B21" s="106" t="s">
        <v>181</v>
      </c>
      <c r="C21" s="517" t="s">
        <v>780</v>
      </c>
      <c r="E21" s="106" t="s">
        <v>182</v>
      </c>
      <c r="F21" s="107" t="s">
        <v>781</v>
      </c>
    </row>
    <row r="22" spans="2:6" ht="30" x14ac:dyDescent="0.2">
      <c r="B22" s="516" t="s">
        <v>183</v>
      </c>
      <c r="C22" s="517" t="s">
        <v>184</v>
      </c>
      <c r="E22" s="516" t="s">
        <v>185</v>
      </c>
      <c r="F22" s="517" t="s">
        <v>186</v>
      </c>
    </row>
    <row r="23" spans="2:6" ht="32.25" customHeight="1" x14ac:dyDescent="0.2">
      <c r="B23" s="106" t="s">
        <v>187</v>
      </c>
      <c r="C23" s="107" t="s">
        <v>188</v>
      </c>
      <c r="E23" s="106" t="s">
        <v>189</v>
      </c>
      <c r="F23" s="107" t="s">
        <v>190</v>
      </c>
    </row>
    <row r="24" spans="2:6" x14ac:dyDescent="0.2">
      <c r="B24" s="106" t="s">
        <v>191</v>
      </c>
      <c r="C24" s="107" t="s">
        <v>192</v>
      </c>
      <c r="E24" s="106" t="s">
        <v>193</v>
      </c>
      <c r="F24" s="107" t="s">
        <v>194</v>
      </c>
    </row>
    <row r="25" spans="2:6" ht="30" x14ac:dyDescent="0.2">
      <c r="B25" s="106" t="s">
        <v>195</v>
      </c>
      <c r="C25" s="107" t="s">
        <v>196</v>
      </c>
      <c r="E25" s="106" t="s">
        <v>197</v>
      </c>
      <c r="F25" s="107" t="s">
        <v>198</v>
      </c>
    </row>
    <row r="26" spans="2:6" ht="30" x14ac:dyDescent="0.2">
      <c r="B26" s="106" t="s">
        <v>199</v>
      </c>
      <c r="C26" s="107" t="s">
        <v>200</v>
      </c>
      <c r="E26" s="106" t="s">
        <v>201</v>
      </c>
      <c r="F26" s="107" t="s">
        <v>202</v>
      </c>
    </row>
    <row r="27" spans="2:6" ht="30" x14ac:dyDescent="0.2">
      <c r="B27" s="516" t="s">
        <v>203</v>
      </c>
      <c r="C27" s="517" t="s">
        <v>204</v>
      </c>
      <c r="E27" s="106" t="s">
        <v>205</v>
      </c>
      <c r="F27" s="107" t="s">
        <v>206</v>
      </c>
    </row>
    <row r="28" spans="2:6" ht="30" x14ac:dyDescent="0.2">
      <c r="B28" s="106" t="s">
        <v>207</v>
      </c>
      <c r="C28" s="107" t="s">
        <v>208</v>
      </c>
      <c r="E28" s="106" t="s">
        <v>209</v>
      </c>
      <c r="F28" s="107" t="s">
        <v>210</v>
      </c>
    </row>
    <row r="29" spans="2:6" ht="30" x14ac:dyDescent="0.2">
      <c r="B29" s="106" t="s">
        <v>211</v>
      </c>
      <c r="C29" s="107" t="s">
        <v>212</v>
      </c>
      <c r="E29" s="106" t="s">
        <v>213</v>
      </c>
      <c r="F29" s="107" t="s">
        <v>214</v>
      </c>
    </row>
    <row r="30" spans="2:6" ht="45" x14ac:dyDescent="0.2">
      <c r="B30" s="524" t="s">
        <v>215</v>
      </c>
      <c r="C30" s="525" t="s">
        <v>216</v>
      </c>
      <c r="E30" s="524" t="s">
        <v>217</v>
      </c>
      <c r="F30" s="525" t="s">
        <v>218</v>
      </c>
    </row>
    <row r="31" spans="2:6" ht="45" x14ac:dyDescent="0.2">
      <c r="B31" s="106" t="s">
        <v>219</v>
      </c>
      <c r="C31" s="107" t="s">
        <v>220</v>
      </c>
      <c r="E31" s="106" t="s">
        <v>221</v>
      </c>
      <c r="F31" s="107" t="s">
        <v>222</v>
      </c>
    </row>
    <row r="32" spans="2:6" x14ac:dyDescent="0.2">
      <c r="B32" s="524" t="s">
        <v>223</v>
      </c>
      <c r="C32" s="525" t="s">
        <v>224</v>
      </c>
      <c r="E32" s="524" t="s">
        <v>225</v>
      </c>
      <c r="F32" s="525" t="s">
        <v>226</v>
      </c>
    </row>
    <row r="33" spans="2:6" x14ac:dyDescent="0.2">
      <c r="B33" s="106" t="s">
        <v>227</v>
      </c>
      <c r="C33" s="107" t="s">
        <v>228</v>
      </c>
      <c r="E33" s="106" t="s">
        <v>229</v>
      </c>
      <c r="F33" s="107" t="s">
        <v>230</v>
      </c>
    </row>
    <row r="34" spans="2:6" ht="48" customHeight="1" x14ac:dyDescent="0.2">
      <c r="B34" s="106" t="s">
        <v>231</v>
      </c>
      <c r="C34" s="107" t="s">
        <v>232</v>
      </c>
      <c r="E34" s="106" t="s">
        <v>233</v>
      </c>
      <c r="F34" s="107" t="s">
        <v>234</v>
      </c>
    </row>
    <row r="35" spans="2:6" ht="32.25" customHeight="1" x14ac:dyDescent="0.2">
      <c r="B35" s="106" t="s">
        <v>235</v>
      </c>
      <c r="C35" s="107" t="s">
        <v>236</v>
      </c>
      <c r="E35" s="106" t="s">
        <v>237</v>
      </c>
      <c r="F35" s="107" t="s">
        <v>238</v>
      </c>
    </row>
    <row r="36" spans="2:6" x14ac:dyDescent="0.2">
      <c r="B36" s="106" t="s">
        <v>239</v>
      </c>
      <c r="C36" s="107" t="s">
        <v>240</v>
      </c>
      <c r="E36" s="106" t="s">
        <v>241</v>
      </c>
      <c r="F36" s="107" t="s">
        <v>242</v>
      </c>
    </row>
    <row r="37" spans="2:6" ht="59.25" customHeight="1" x14ac:dyDescent="0.2">
      <c r="B37" s="106" t="s">
        <v>243</v>
      </c>
      <c r="C37" s="107" t="s">
        <v>244</v>
      </c>
      <c r="E37" s="106" t="s">
        <v>245</v>
      </c>
      <c r="F37" s="107" t="s">
        <v>246</v>
      </c>
    </row>
    <row r="38" spans="2:6" ht="32.25" customHeight="1" x14ac:dyDescent="0.2">
      <c r="B38" s="106" t="s">
        <v>247</v>
      </c>
      <c r="C38" s="107" t="s">
        <v>248</v>
      </c>
      <c r="E38" s="106" t="s">
        <v>249</v>
      </c>
      <c r="F38" s="107" t="s">
        <v>250</v>
      </c>
    </row>
    <row r="39" spans="2:6" ht="32.25" customHeight="1" x14ac:dyDescent="0.2">
      <c r="B39" s="106" t="s">
        <v>251</v>
      </c>
      <c r="C39" s="107" t="s">
        <v>252</v>
      </c>
      <c r="E39" s="106" t="s">
        <v>253</v>
      </c>
      <c r="F39" s="107" t="s">
        <v>254</v>
      </c>
    </row>
    <row r="40" spans="2:6" x14ac:dyDescent="0.2">
      <c r="B40" s="106" t="s">
        <v>255</v>
      </c>
      <c r="C40" s="107" t="s">
        <v>256</v>
      </c>
      <c r="E40" s="106" t="s">
        <v>257</v>
      </c>
      <c r="F40" s="107" t="s">
        <v>258</v>
      </c>
    </row>
    <row r="41" spans="2:6" ht="32.25" customHeight="1" x14ac:dyDescent="0.2">
      <c r="B41" s="106" t="s">
        <v>259</v>
      </c>
      <c r="C41" s="107" t="s">
        <v>260</v>
      </c>
      <c r="E41" s="106" t="s">
        <v>261</v>
      </c>
      <c r="F41" s="107" t="s">
        <v>262</v>
      </c>
    </row>
    <row r="42" spans="2:6" ht="32.25" customHeight="1" x14ac:dyDescent="0.2">
      <c r="B42" s="106" t="s">
        <v>263</v>
      </c>
      <c r="C42" s="107" t="s">
        <v>264</v>
      </c>
      <c r="E42" s="106" t="s">
        <v>265</v>
      </c>
      <c r="F42" s="107" t="s">
        <v>266</v>
      </c>
    </row>
    <row r="43" spans="2:6" ht="45" x14ac:dyDescent="0.2">
      <c r="B43" s="106" t="s">
        <v>267</v>
      </c>
      <c r="C43" s="107" t="s">
        <v>268</v>
      </c>
      <c r="E43" s="106" t="s">
        <v>269</v>
      </c>
      <c r="F43" s="107" t="s">
        <v>270</v>
      </c>
    </row>
    <row r="44" spans="2:6" ht="32.25" customHeight="1" x14ac:dyDescent="0.2">
      <c r="B44" s="106" t="s">
        <v>271</v>
      </c>
      <c r="C44" s="107" t="s">
        <v>272</v>
      </c>
      <c r="E44" s="106" t="s">
        <v>273</v>
      </c>
      <c r="F44" s="107" t="s">
        <v>274</v>
      </c>
    </row>
    <row r="45" spans="2:6" ht="32.25" customHeight="1" x14ac:dyDescent="0.2">
      <c r="B45" s="106" t="s">
        <v>275</v>
      </c>
      <c r="C45" s="107" t="s">
        <v>276</v>
      </c>
      <c r="E45" s="106" t="s">
        <v>277</v>
      </c>
      <c r="F45" s="107" t="s">
        <v>278</v>
      </c>
    </row>
    <row r="46" spans="2:6" ht="30" x14ac:dyDescent="0.2">
      <c r="B46" s="106" t="s">
        <v>279</v>
      </c>
      <c r="C46" s="107" t="s">
        <v>280</v>
      </c>
      <c r="E46" s="106" t="s">
        <v>279</v>
      </c>
      <c r="F46" s="107" t="s">
        <v>281</v>
      </c>
    </row>
    <row r="47" spans="2:6" ht="31.5" customHeight="1" x14ac:dyDescent="0.2">
      <c r="B47" s="106" t="s">
        <v>282</v>
      </c>
      <c r="C47" s="107" t="s">
        <v>283</v>
      </c>
      <c r="E47" s="106" t="s">
        <v>284</v>
      </c>
      <c r="F47" s="107" t="s">
        <v>285</v>
      </c>
    </row>
    <row r="48" spans="2:6" ht="31.5" customHeight="1" x14ac:dyDescent="0.2">
      <c r="B48" s="516" t="s">
        <v>770</v>
      </c>
      <c r="C48" s="517" t="s">
        <v>768</v>
      </c>
      <c r="E48" s="516" t="s">
        <v>770</v>
      </c>
      <c r="F48" s="517" t="s">
        <v>769</v>
      </c>
    </row>
    <row r="49" spans="2:6" ht="32.25" customHeight="1" x14ac:dyDescent="0.2">
      <c r="B49" s="106" t="s">
        <v>286</v>
      </c>
      <c r="C49" s="107" t="s">
        <v>287</v>
      </c>
      <c r="E49" s="106" t="s">
        <v>286</v>
      </c>
      <c r="F49" s="107" t="s">
        <v>288</v>
      </c>
    </row>
    <row r="50" spans="2:6" ht="31.5" customHeight="1" thickBot="1" x14ac:dyDescent="0.25">
      <c r="B50" s="523" t="s">
        <v>289</v>
      </c>
      <c r="C50" s="399" t="s">
        <v>290</v>
      </c>
      <c r="D50" s="515"/>
      <c r="E50" s="523" t="s">
        <v>291</v>
      </c>
      <c r="F50" s="399" t="s">
        <v>292</v>
      </c>
    </row>
    <row r="51" spans="2:6" x14ac:dyDescent="0.2">
      <c r="B51" s="518"/>
      <c r="C51" s="514"/>
      <c r="D51" s="515"/>
      <c r="E51" s="518"/>
      <c r="F51" s="514"/>
    </row>
  </sheetData>
  <sheetProtection algorithmName="SHA-512" hashValue="YXPkM7mCjZkTarmD29TEsWIOz+kqPxLZ7zdsyjgJBWS1VHvVFgmZRPczbKLB+vAKEXN6MeaAXTCNmTL8DmRNtQ==" saltValue="b+piRvK6tXWgzBjdrTnjjQ==" spinCount="100000" sheet="1" objects="1" scenarios="1"/>
  <mergeCells count="2">
    <mergeCell ref="B2:C2"/>
    <mergeCell ref="E2:F2"/>
  </mergeCells>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10197-6C51-4147-8430-1C57CF4FCBF4}">
  <sheetPr codeName="Sheet4">
    <tabColor theme="3"/>
  </sheetPr>
  <dimension ref="B2:S108"/>
  <sheetViews>
    <sheetView showGridLines="0" zoomScale="106" zoomScaleNormal="110" workbookViewId="0"/>
  </sheetViews>
  <sheetFormatPr baseColWidth="10" defaultColWidth="8.85546875" defaultRowHeight="14" x14ac:dyDescent="0.15"/>
  <cols>
    <col min="1" max="1" width="4.5703125" style="110" customWidth="1"/>
    <col min="2" max="2" width="1.28515625" style="110" customWidth="1"/>
    <col min="3" max="3" width="43.85546875" style="110" customWidth="1"/>
    <col min="4" max="4" width="15.28515625" style="110" customWidth="1"/>
    <col min="5" max="5" width="19.28515625" style="110" customWidth="1"/>
    <col min="6" max="9" width="15.28515625" style="110" customWidth="1"/>
    <col min="10" max="10" width="1.28515625" style="110" customWidth="1"/>
    <col min="11" max="11" width="15.140625" style="109" customWidth="1"/>
    <col min="12" max="13" width="15.28515625" style="110" customWidth="1"/>
    <col min="14" max="14" width="13" style="110" customWidth="1"/>
    <col min="15" max="15" width="15.140625" style="109" customWidth="1"/>
    <col min="16" max="16384" width="8.85546875" style="110"/>
  </cols>
  <sheetData>
    <row r="2" spans="2:19" ht="74.25" customHeight="1" x14ac:dyDescent="0.2">
      <c r="B2" s="641" t="s">
        <v>293</v>
      </c>
      <c r="C2" s="641"/>
      <c r="D2" s="641"/>
      <c r="E2" s="641"/>
      <c r="F2" s="641"/>
      <c r="G2" s="641"/>
      <c r="H2" s="641"/>
      <c r="I2" s="641"/>
      <c r="J2" s="92"/>
      <c r="L2" s="92"/>
      <c r="M2" s="92"/>
      <c r="N2" s="92"/>
    </row>
    <row r="3" spans="2:19" ht="19" thickBot="1" x14ac:dyDescent="0.25">
      <c r="C3" s="111"/>
      <c r="G3" s="112"/>
    </row>
    <row r="4" spans="2:19" ht="16" customHeight="1" x14ac:dyDescent="0.3">
      <c r="B4" s="113"/>
      <c r="C4" s="114"/>
      <c r="D4" s="115"/>
      <c r="E4" s="115"/>
      <c r="F4" s="115"/>
      <c r="G4" s="116"/>
      <c r="H4" s="115"/>
      <c r="I4" s="117"/>
      <c r="K4" s="367" t="s">
        <v>294</v>
      </c>
      <c r="M4" s="367"/>
      <c r="O4" s="367" t="s">
        <v>695</v>
      </c>
    </row>
    <row r="5" spans="2:19" ht="20.25" customHeight="1" x14ac:dyDescent="0.2">
      <c r="B5" s="118"/>
      <c r="C5" s="111"/>
      <c r="G5" s="112"/>
      <c r="I5" s="119"/>
      <c r="K5" s="639" t="s">
        <v>782</v>
      </c>
      <c r="L5" s="639"/>
      <c r="M5" s="639"/>
      <c r="N5" s="639"/>
      <c r="O5" s="639" t="s">
        <v>783</v>
      </c>
      <c r="P5" s="639"/>
      <c r="Q5" s="639"/>
      <c r="R5" s="639"/>
      <c r="S5" s="639"/>
    </row>
    <row r="6" spans="2:19" ht="18" x14ac:dyDescent="0.2">
      <c r="B6" s="118"/>
      <c r="C6" s="111"/>
      <c r="G6" s="112"/>
      <c r="I6" s="119"/>
    </row>
    <row r="7" spans="2:19" ht="18" x14ac:dyDescent="0.2">
      <c r="B7" s="118"/>
      <c r="C7" s="111"/>
      <c r="G7" s="112"/>
      <c r="I7" s="119"/>
      <c r="K7" s="120"/>
      <c r="O7" s="120"/>
    </row>
    <row r="8" spans="2:19" ht="18" x14ac:dyDescent="0.2">
      <c r="B8" s="118"/>
      <c r="C8" s="111"/>
      <c r="G8" s="112"/>
      <c r="I8" s="119"/>
      <c r="K8" s="120"/>
      <c r="O8" s="120"/>
    </row>
    <row r="9" spans="2:19" ht="18" x14ac:dyDescent="0.2">
      <c r="B9" s="118"/>
      <c r="C9" s="111"/>
      <c r="G9" s="112"/>
      <c r="I9" s="119"/>
      <c r="K9" s="120"/>
      <c r="O9" s="120"/>
    </row>
    <row r="10" spans="2:19" ht="18" x14ac:dyDescent="0.2">
      <c r="B10" s="118"/>
      <c r="C10" s="111"/>
      <c r="G10" s="112"/>
      <c r="I10" s="119"/>
      <c r="K10" s="120"/>
      <c r="O10" s="120"/>
    </row>
    <row r="11" spans="2:19" ht="18" x14ac:dyDescent="0.2">
      <c r="B11" s="118"/>
      <c r="C11" s="111"/>
      <c r="G11" s="112"/>
      <c r="I11" s="119"/>
      <c r="K11" s="120"/>
      <c r="O11" s="120"/>
    </row>
    <row r="12" spans="2:19" ht="18" x14ac:dyDescent="0.2">
      <c r="B12" s="118"/>
      <c r="C12" s="111"/>
      <c r="G12" s="112"/>
      <c r="I12" s="119"/>
      <c r="K12" s="120"/>
      <c r="O12" s="120"/>
    </row>
    <row r="13" spans="2:19" ht="18" x14ac:dyDescent="0.2">
      <c r="B13" s="118"/>
      <c r="C13" s="111"/>
      <c r="G13" s="112"/>
      <c r="I13" s="119"/>
      <c r="K13" s="120"/>
      <c r="O13" s="120"/>
    </row>
    <row r="14" spans="2:19" ht="18" x14ac:dyDescent="0.2">
      <c r="B14" s="118"/>
      <c r="C14" s="111"/>
      <c r="G14" s="112"/>
      <c r="I14" s="119"/>
      <c r="K14" s="120"/>
      <c r="O14" s="120"/>
    </row>
    <row r="15" spans="2:19" ht="18" x14ac:dyDescent="0.2">
      <c r="B15" s="118"/>
      <c r="C15" s="111"/>
      <c r="G15" s="112"/>
      <c r="I15" s="119"/>
      <c r="K15" s="120"/>
      <c r="O15" s="120"/>
    </row>
    <row r="16" spans="2:19" ht="18" x14ac:dyDescent="0.2">
      <c r="B16" s="118"/>
      <c r="C16" s="111"/>
      <c r="G16" s="112"/>
      <c r="I16" s="119"/>
      <c r="K16" s="120"/>
      <c r="O16" s="120"/>
    </row>
    <row r="17" spans="2:19" ht="18" x14ac:dyDescent="0.2">
      <c r="B17" s="118"/>
      <c r="C17" s="111"/>
      <c r="G17" s="112"/>
      <c r="I17" s="119"/>
      <c r="K17" s="120"/>
      <c r="O17" s="120"/>
    </row>
    <row r="18" spans="2:19" ht="18" x14ac:dyDescent="0.2">
      <c r="B18" s="118"/>
      <c r="C18" s="111"/>
      <c r="G18" s="112"/>
      <c r="I18" s="119"/>
      <c r="K18" s="120"/>
      <c r="O18" s="120"/>
    </row>
    <row r="19" spans="2:19" ht="16" x14ac:dyDescent="0.2">
      <c r="B19" s="118"/>
      <c r="C19" s="121" t="s">
        <v>295</v>
      </c>
      <c r="G19" s="112"/>
      <c r="I19" s="119"/>
      <c r="K19" s="120"/>
      <c r="O19" s="120"/>
    </row>
    <row r="20" spans="2:19" s="99" customFormat="1" ht="27" customHeight="1" thickBot="1" x14ac:dyDescent="0.25">
      <c r="B20" s="118"/>
      <c r="C20" s="122" t="s">
        <v>296</v>
      </c>
      <c r="D20" s="122" t="s">
        <v>297</v>
      </c>
      <c r="E20" s="122" t="s">
        <v>298</v>
      </c>
      <c r="F20" s="110"/>
      <c r="G20" s="110"/>
      <c r="H20" s="110"/>
      <c r="I20" s="119"/>
      <c r="K20" s="639" t="s">
        <v>299</v>
      </c>
      <c r="L20" s="639"/>
      <c r="M20" s="639"/>
      <c r="N20" s="639"/>
      <c r="O20" s="645" t="s">
        <v>696</v>
      </c>
      <c r="P20" s="645"/>
      <c r="Q20" s="645"/>
      <c r="R20" s="645"/>
      <c r="S20" s="645"/>
    </row>
    <row r="21" spans="2:19" s="99" customFormat="1" ht="21" customHeight="1" x14ac:dyDescent="0.2">
      <c r="B21" s="118"/>
      <c r="C21" s="123" t="s">
        <v>300</v>
      </c>
      <c r="D21" s="124">
        <f>non_authorized_credits*avg_price</f>
        <v>1470000</v>
      </c>
      <c r="E21" s="124">
        <f>non_authorized_credits_ndc*avg_price</f>
        <v>588000</v>
      </c>
      <c r="F21" s="110"/>
      <c r="G21" s="112"/>
      <c r="H21" s="110"/>
      <c r="I21" s="119"/>
      <c r="K21" s="542"/>
      <c r="L21" s="542"/>
      <c r="M21" s="542"/>
      <c r="N21" s="528"/>
      <c r="O21" s="532"/>
    </row>
    <row r="22" spans="2:19" s="99" customFormat="1" ht="21" customHeight="1" x14ac:dyDescent="0.2">
      <c r="B22" s="118"/>
      <c r="C22" s="125" t="s">
        <v>301</v>
      </c>
      <c r="D22" s="126">
        <f>authorized_credits*itmo_price</f>
        <v>6860000</v>
      </c>
      <c r="E22" s="126">
        <f>authorized_credits_ndc*itmo_price</f>
        <v>2744000</v>
      </c>
      <c r="G22" s="112"/>
      <c r="H22" s="110"/>
      <c r="I22" s="127"/>
      <c r="K22" s="542"/>
      <c r="L22" s="542"/>
      <c r="M22" s="542"/>
      <c r="N22" s="528"/>
      <c r="O22" s="532"/>
    </row>
    <row r="23" spans="2:19" s="99" customFormat="1" ht="21" customHeight="1" x14ac:dyDescent="0.2">
      <c r="B23" s="118"/>
      <c r="C23" s="125" t="s">
        <v>302</v>
      </c>
      <c r="D23" s="126">
        <f>SUM(D21:D22)</f>
        <v>8330000</v>
      </c>
      <c r="E23" s="126">
        <f>SUM(E21:E22)</f>
        <v>3332000</v>
      </c>
      <c r="G23" s="112"/>
      <c r="H23" s="110"/>
      <c r="I23" s="127"/>
      <c r="K23" s="639" t="s">
        <v>303</v>
      </c>
      <c r="L23" s="639"/>
      <c r="M23" s="639"/>
      <c r="N23" s="639"/>
      <c r="O23" s="639" t="s">
        <v>697</v>
      </c>
      <c r="P23" s="639"/>
      <c r="Q23" s="639"/>
      <c r="R23" s="639"/>
    </row>
    <row r="24" spans="2:19" s="99" customFormat="1" ht="21" customHeight="1" x14ac:dyDescent="0.2">
      <c r="B24" s="118"/>
      <c r="C24" s="125" t="s">
        <v>304</v>
      </c>
      <c r="D24" s="126">
        <f>IFERROR(gross_revenue/'4.Inputs'!D12,gross_revenue)</f>
        <v>416500</v>
      </c>
      <c r="E24" s="126" t="s">
        <v>305</v>
      </c>
      <c r="G24" s="112"/>
      <c r="H24" s="110"/>
      <c r="I24" s="127"/>
      <c r="K24" s="639"/>
      <c r="L24" s="639"/>
      <c r="M24" s="639"/>
      <c r="N24" s="639"/>
      <c r="O24" s="639"/>
      <c r="P24" s="639"/>
      <c r="Q24" s="639"/>
      <c r="R24" s="639"/>
    </row>
    <row r="25" spans="2:19" ht="19" thickBot="1" x14ac:dyDescent="0.25">
      <c r="B25" s="128"/>
      <c r="C25" s="129"/>
      <c r="D25" s="130"/>
      <c r="E25" s="130"/>
      <c r="F25" s="130"/>
      <c r="G25" s="130"/>
      <c r="H25" s="130"/>
      <c r="I25" s="131"/>
      <c r="K25" s="639"/>
      <c r="L25" s="639"/>
      <c r="M25" s="639"/>
      <c r="N25" s="639"/>
      <c r="O25" s="639"/>
      <c r="P25" s="639"/>
      <c r="Q25" s="639"/>
      <c r="R25" s="639"/>
    </row>
    <row r="26" spans="2:19" ht="19" thickBot="1" x14ac:dyDescent="0.25">
      <c r="C26" s="111"/>
      <c r="K26" s="120"/>
      <c r="O26" s="120"/>
    </row>
    <row r="27" spans="2:19" ht="18" x14ac:dyDescent="0.2">
      <c r="B27" s="113"/>
      <c r="C27" s="114"/>
      <c r="D27" s="115"/>
      <c r="E27" s="115"/>
      <c r="F27" s="115"/>
      <c r="G27" s="115"/>
      <c r="H27" s="115"/>
      <c r="I27" s="117"/>
      <c r="K27" s="120"/>
      <c r="O27" s="120"/>
    </row>
    <row r="28" spans="2:19" ht="18" x14ac:dyDescent="0.2">
      <c r="B28" s="118"/>
      <c r="C28" s="111"/>
      <c r="I28" s="119"/>
      <c r="K28" s="120"/>
      <c r="O28" s="120"/>
    </row>
    <row r="29" spans="2:19" ht="18" x14ac:dyDescent="0.2">
      <c r="B29" s="118"/>
      <c r="C29" s="111"/>
      <c r="I29" s="119"/>
      <c r="K29" s="120"/>
      <c r="O29" s="120"/>
    </row>
    <row r="30" spans="2:19" ht="18" x14ac:dyDescent="0.2">
      <c r="B30" s="118"/>
      <c r="C30" s="111"/>
      <c r="I30" s="119"/>
      <c r="K30" s="120"/>
      <c r="O30" s="120"/>
    </row>
    <row r="31" spans="2:19" ht="18" x14ac:dyDescent="0.2">
      <c r="B31" s="118"/>
      <c r="C31" s="111"/>
      <c r="I31" s="119"/>
      <c r="K31" s="120"/>
      <c r="O31" s="120"/>
    </row>
    <row r="32" spans="2:19" ht="18" x14ac:dyDescent="0.2">
      <c r="B32" s="118"/>
      <c r="C32" s="111"/>
      <c r="I32" s="119"/>
      <c r="K32" s="120"/>
      <c r="O32" s="120"/>
    </row>
    <row r="33" spans="2:19" ht="18" x14ac:dyDescent="0.2">
      <c r="B33" s="118"/>
      <c r="C33" s="111"/>
      <c r="I33" s="119"/>
      <c r="K33" s="120"/>
      <c r="O33" s="120"/>
    </row>
    <row r="34" spans="2:19" ht="18" x14ac:dyDescent="0.2">
      <c r="B34" s="118"/>
      <c r="C34" s="111"/>
      <c r="I34" s="119"/>
      <c r="K34" s="120"/>
      <c r="O34" s="120"/>
    </row>
    <row r="35" spans="2:19" ht="18" x14ac:dyDescent="0.2">
      <c r="B35" s="118"/>
      <c r="C35" s="111"/>
      <c r="I35" s="119"/>
      <c r="K35" s="120"/>
      <c r="O35" s="120"/>
    </row>
    <row r="36" spans="2:19" ht="18" x14ac:dyDescent="0.2">
      <c r="B36" s="118"/>
      <c r="C36" s="111"/>
      <c r="I36" s="119"/>
      <c r="K36" s="120"/>
      <c r="O36" s="120"/>
    </row>
    <row r="37" spans="2:19" ht="18" x14ac:dyDescent="0.2">
      <c r="B37" s="118"/>
      <c r="C37" s="111"/>
      <c r="I37" s="119"/>
      <c r="K37" s="120"/>
      <c r="O37" s="120"/>
    </row>
    <row r="38" spans="2:19" ht="18" x14ac:dyDescent="0.2">
      <c r="B38" s="118"/>
      <c r="C38" s="111"/>
      <c r="I38" s="119"/>
      <c r="K38" s="120"/>
      <c r="O38" s="120"/>
    </row>
    <row r="39" spans="2:19" ht="18" x14ac:dyDescent="0.2">
      <c r="B39" s="118"/>
      <c r="C39" s="111"/>
      <c r="I39" s="119"/>
      <c r="K39" s="120"/>
      <c r="O39" s="120"/>
    </row>
    <row r="40" spans="2:19" ht="18" x14ac:dyDescent="0.2">
      <c r="B40" s="118"/>
      <c r="C40" s="111"/>
      <c r="I40" s="119"/>
      <c r="K40" s="120"/>
      <c r="O40" s="120"/>
    </row>
    <row r="41" spans="2:19" ht="18" x14ac:dyDescent="0.2">
      <c r="B41" s="118"/>
      <c r="C41" s="111"/>
      <c r="I41" s="119"/>
      <c r="K41" s="120"/>
      <c r="O41" s="120"/>
    </row>
    <row r="42" spans="2:19" ht="31" customHeight="1" x14ac:dyDescent="0.15">
      <c r="B42" s="118"/>
      <c r="C42" s="132" t="s">
        <v>306</v>
      </c>
      <c r="D42" s="109"/>
      <c r="E42" s="109"/>
      <c r="F42" s="109"/>
      <c r="G42" s="642" t="s">
        <v>307</v>
      </c>
      <c r="H42" s="642"/>
      <c r="I42" s="643"/>
      <c r="K42" s="120"/>
      <c r="O42" s="120"/>
    </row>
    <row r="43" spans="2:19" ht="31" thickBot="1" x14ac:dyDescent="0.2">
      <c r="B43" s="118"/>
      <c r="C43" s="133" t="s">
        <v>787</v>
      </c>
      <c r="D43" s="134" t="s">
        <v>308</v>
      </c>
      <c r="E43" s="134" t="s">
        <v>309</v>
      </c>
      <c r="F43" s="134" t="s">
        <v>310</v>
      </c>
      <c r="G43" s="559" t="s">
        <v>799</v>
      </c>
      <c r="H43" s="559" t="s">
        <v>800</v>
      </c>
      <c r="I43" s="135" t="s">
        <v>311</v>
      </c>
      <c r="K43" s="120"/>
      <c r="O43" s="120"/>
    </row>
    <row r="44" spans="2:19" ht="23.25" customHeight="1" x14ac:dyDescent="0.15">
      <c r="B44" s="118"/>
      <c r="C44" s="136" t="s">
        <v>312</v>
      </c>
      <c r="D44" s="124">
        <f ca="1">IF(gov_source="Preset data", SUMIF('5.F&amp;L_Calculations'!$L$16:$L$24, "&lt;&gt;*kind*", '5.F&amp;L_Calculations'!$O$16:$O$24), SUMIF('5.F&amp;L_Calculations'!$M$16:$M$24, "&lt;&gt;*kind*", '5.F&amp;L_Calculations'!$O$16:$O$24))</f>
        <v>3000</v>
      </c>
      <c r="E44" s="137">
        <f t="shared" ref="E44:E50" ca="1" si="0">D44*fx_rate</f>
        <v>32736.66</v>
      </c>
      <c r="F44" s="138">
        <f t="shared" ref="F44:F50" ca="1" si="1">IFERROR(D44/gross_revenue,"")</f>
        <v>3.6014405762304919E-4</v>
      </c>
      <c r="G44" s="139">
        <f ca="1">IF(gov_source="Preset data", SUMIF('5.F&amp;L_Calculations'!$L$16:$L$24, "&lt;&gt;*kind*", '5.F&amp;L_Calculations'!$Q$16:$Q$24), SUMIF('5.F&amp;L_Calculations'!$M$16:$M$24, "&lt;&gt;*kind*", '5.F&amp;L_Calculations'!$Q$16:$Q$24))</f>
        <v>3000</v>
      </c>
      <c r="H44" s="137">
        <f t="shared" ref="H44:H49" ca="1" si="2">G44*fx_rate</f>
        <v>32736.66</v>
      </c>
      <c r="I44" s="140">
        <f t="shared" ref="I44:I50" ca="1" si="3">IFERROR(G44/$G$50,"")</f>
        <v>1.7260524604877825E-3</v>
      </c>
      <c r="K44" s="645" t="s">
        <v>313</v>
      </c>
      <c r="L44" s="645"/>
      <c r="M44" s="645"/>
      <c r="N44" s="645"/>
      <c r="O44" s="645" t="s">
        <v>698</v>
      </c>
      <c r="P44" s="645"/>
      <c r="Q44" s="645"/>
      <c r="R44" s="645"/>
      <c r="S44" s="645"/>
    </row>
    <row r="45" spans="2:19" ht="23.25" customHeight="1" x14ac:dyDescent="0.15">
      <c r="B45" s="118"/>
      <c r="C45" s="141" t="s">
        <v>314</v>
      </c>
      <c r="D45" s="142">
        <f ca="1">IF(gov_source="Preset data", SUMIF('5.F&amp;L_Calculations'!$L$44:$L$49, "&lt;&gt;*kind*", '5.F&amp;L_Calculations'!$O$44:$O$49), SUMIF('5.F&amp;L_Calculations'!$M$44:$M$49, "&lt;&gt;*kind*", '5.F&amp;L_Calculations'!$O$44:$O$49))</f>
        <v>1783600</v>
      </c>
      <c r="E45" s="143">
        <f t="shared" ca="1" si="0"/>
        <v>19463035.592</v>
      </c>
      <c r="F45" s="144">
        <f t="shared" ca="1" si="1"/>
        <v>0.21411764705882352</v>
      </c>
      <c r="G45" s="142">
        <f ca="1">IF(gov_source="Preset data", SUMIF('5.F&amp;L_Calculations'!$L$44:$L$49, "&lt;&gt;*kind*", '5.F&amp;L_Calculations'!$Q$44:$Q$49), SUMIF('5.F&amp;L_Calculations'!$M$44:$M$49, "&lt;&gt;*kind*", '5.F&amp;L_Calculations'!$Q$44:$Q$49))</f>
        <v>1783600</v>
      </c>
      <c r="H45" s="145">
        <f t="shared" ca="1" si="2"/>
        <v>19463035.592</v>
      </c>
      <c r="I45" s="146">
        <f t="shared" ca="1" si="3"/>
        <v>1.0261957228420029</v>
      </c>
      <c r="K45" s="645" t="s">
        <v>315</v>
      </c>
      <c r="L45" s="645"/>
      <c r="M45" s="645"/>
      <c r="N45" s="645"/>
      <c r="O45" s="645" t="s">
        <v>699</v>
      </c>
      <c r="P45" s="645"/>
      <c r="Q45" s="645"/>
      <c r="R45" s="645"/>
      <c r="S45" s="645"/>
    </row>
    <row r="46" spans="2:19" ht="23.25" customHeight="1" x14ac:dyDescent="0.15">
      <c r="B46" s="118"/>
      <c r="C46" s="141" t="s">
        <v>316</v>
      </c>
      <c r="D46" s="147">
        <f ca="1">IF(gov_source="Preset data", SUMIF('5.F&amp;L_Calculations'!$L$31:$L$36, "&lt;&gt;*kind*", '5.F&amp;L_Calculations'!$O$31:$O$36), SUMIF('5.F&amp;L_Calculations'!$M$31:$M$36, "&lt;&gt;*kind*", '5.F&amp;L_Calculations'!$O$31:$O$36))</f>
        <v>1470</v>
      </c>
      <c r="E46" s="143">
        <f t="shared" ca="1" si="0"/>
        <v>16040.963399999999</v>
      </c>
      <c r="F46" s="144">
        <f t="shared" ca="1" si="1"/>
        <v>1.7647058823529413E-4</v>
      </c>
      <c r="G46" s="142">
        <f ca="1">IF(gov_source="Preset data", SUMIF('5.F&amp;L_Calculations'!$L$31:$L$36, "&lt;&gt;*kind*", '5.F&amp;L_Calculations'!$Q$31:$Q$36), SUMIF('5.F&amp;L_Calculations'!$M$31:$M$36, "&lt;&gt;*kind*", '5.F&amp;L_Calculations'!$Q$31:$Q$36))</f>
        <v>1470</v>
      </c>
      <c r="H46" s="143">
        <f t="shared" ca="1" si="2"/>
        <v>16040.963399999999</v>
      </c>
      <c r="I46" s="146">
        <f t="shared" ca="1" si="3"/>
        <v>8.4576570563901343E-4</v>
      </c>
      <c r="K46" s="645" t="s">
        <v>317</v>
      </c>
      <c r="L46" s="645"/>
      <c r="M46" s="645"/>
      <c r="N46" s="645"/>
      <c r="O46" s="645" t="s">
        <v>700</v>
      </c>
      <c r="P46" s="645"/>
      <c r="Q46" s="645"/>
      <c r="R46" s="645"/>
      <c r="S46" s="645"/>
    </row>
    <row r="47" spans="2:19" ht="23.25" customHeight="1" x14ac:dyDescent="0.15">
      <c r="B47" s="118"/>
      <c r="C47" s="141" t="s">
        <v>318</v>
      </c>
      <c r="D47" s="147">
        <f ca="1">IF(gov_source="Preset data", SUMIF('5.F&amp;L_Calculations'!$L$60:$L$64, "&lt;&gt;*kind*", '5.F&amp;L_Calculations'!$O$60:$O$64), SUMIF('5.F&amp;L_Calculations'!$M$60:$M$64, "&lt;&gt;*kind*", '5.F&amp;L_Calculations'!$O$60:$O$64))</f>
        <v>0</v>
      </c>
      <c r="E47" s="143">
        <f t="shared" ca="1" si="0"/>
        <v>0</v>
      </c>
      <c r="F47" s="144">
        <f t="shared" ca="1" si="1"/>
        <v>0</v>
      </c>
      <c r="G47" s="142">
        <f ca="1">IF(gov_source="Preset data", SUMIF('5.F&amp;L_Calculations'!$L$60:$L$64, "&lt;&gt;*kind*", '5.F&amp;L_Calculations'!$Q$60:$Q$64), SUMIF('5.F&amp;L_Calculations'!$M$60:$M$64, "&lt;&gt;*kind*", '5.F&amp;L_Calculations'!$Q$60:$Q$64))</f>
        <v>0</v>
      </c>
      <c r="H47" s="143">
        <f t="shared" ca="1" si="2"/>
        <v>0</v>
      </c>
      <c r="I47" s="146">
        <f t="shared" ca="1" si="3"/>
        <v>0</v>
      </c>
      <c r="K47" s="368" t="s">
        <v>319</v>
      </c>
      <c r="O47" s="368" t="s">
        <v>701</v>
      </c>
    </row>
    <row r="48" spans="2:19" ht="23.25" customHeight="1" x14ac:dyDescent="0.15">
      <c r="B48" s="118"/>
      <c r="C48" s="141" t="s">
        <v>790</v>
      </c>
      <c r="D48" s="554">
        <f>-'4.Inputs'!D60</f>
        <v>-50000</v>
      </c>
      <c r="E48" s="143">
        <f t="shared" si="0"/>
        <v>-545611</v>
      </c>
      <c r="F48" s="144">
        <f t="shared" si="1"/>
        <v>-6.0024009603841539E-3</v>
      </c>
      <c r="G48" s="147">
        <f>D48</f>
        <v>-50000</v>
      </c>
      <c r="H48" s="143">
        <f t="shared" si="2"/>
        <v>-545611</v>
      </c>
      <c r="I48" s="146">
        <f t="shared" ca="1" si="3"/>
        <v>-2.8767541008129706E-2</v>
      </c>
      <c r="K48" s="368"/>
      <c r="O48" s="368"/>
    </row>
    <row r="49" spans="2:15" ht="23.25" customHeight="1" x14ac:dyDescent="0.15">
      <c r="B49" s="118"/>
      <c r="C49" s="141" t="s">
        <v>789</v>
      </c>
      <c r="D49" s="554">
        <f>-'4.Inputs'!D58</f>
        <v>-500000</v>
      </c>
      <c r="E49" s="143">
        <f t="shared" si="0"/>
        <v>-5456110</v>
      </c>
      <c r="F49" s="144">
        <f t="shared" si="1"/>
        <v>-6.0024009603841535E-2</v>
      </c>
      <c r="G49" s="147">
        <f>D49</f>
        <v>-500000</v>
      </c>
      <c r="H49" s="143">
        <f t="shared" si="2"/>
        <v>-5456110</v>
      </c>
      <c r="I49" s="146">
        <f t="shared" ca="1" si="3"/>
        <v>-0.28767541008129704</v>
      </c>
      <c r="K49" s="368"/>
      <c r="O49" s="368"/>
    </row>
    <row r="50" spans="2:15" ht="23.25" customHeight="1" x14ac:dyDescent="0.15">
      <c r="B50" s="118"/>
      <c r="C50" s="148" t="s">
        <v>320</v>
      </c>
      <c r="D50" s="149">
        <f ca="1">SUM(D44:D48)</f>
        <v>1738070</v>
      </c>
      <c r="E50" s="150">
        <f t="shared" ca="1" si="0"/>
        <v>18966202.215399999</v>
      </c>
      <c r="F50" s="151">
        <f t="shared" ca="1" si="1"/>
        <v>0.20865186074429773</v>
      </c>
      <c r="G50" s="149">
        <f ca="1">SUM(G44:G48)</f>
        <v>1738070</v>
      </c>
      <c r="H50" s="150">
        <f ca="1">SUM(H44:H48)</f>
        <v>18966202.215399999</v>
      </c>
      <c r="I50" s="152">
        <f t="shared" ca="1" si="3"/>
        <v>1</v>
      </c>
      <c r="K50" s="368"/>
      <c r="O50" s="368"/>
    </row>
    <row r="51" spans="2:15" ht="23.25" customHeight="1" x14ac:dyDescent="0.15">
      <c r="B51" s="118"/>
      <c r="C51" s="153" t="s">
        <v>321</v>
      </c>
      <c r="D51" s="154">
        <f ca="1">IFERROR(D50/'4.Inputs'!$D$12,"")</f>
        <v>86903.5</v>
      </c>
      <c r="E51" s="150">
        <f ca="1">IFERROR(E50/'4.Inputs'!$D$12,"")</f>
        <v>948310.11076999991</v>
      </c>
      <c r="F51" s="155">
        <f ca="1">IFERROR(D51/annual_revenue,"")</f>
        <v>0.20865186074429773</v>
      </c>
      <c r="G51" s="154">
        <f ca="1">IFERROR(G50/'4.Inputs'!$D$12,"")</f>
        <v>86903.5</v>
      </c>
      <c r="H51" s="150">
        <f ca="1">IFERROR(H50/'4.Inputs'!$D$12,"")</f>
        <v>948310.11076999991</v>
      </c>
      <c r="I51" s="152">
        <f ca="1">IFERROR(G51/G50,"")</f>
        <v>0.05</v>
      </c>
      <c r="K51" s="368" t="s">
        <v>322</v>
      </c>
      <c r="O51" s="368" t="s">
        <v>702</v>
      </c>
    </row>
    <row r="52" spans="2:15" ht="15" thickBot="1" x14ac:dyDescent="0.2">
      <c r="B52" s="128"/>
      <c r="C52" s="130"/>
      <c r="D52" s="130"/>
      <c r="E52" s="130"/>
      <c r="F52" s="130"/>
      <c r="G52" s="130"/>
      <c r="H52" s="156"/>
      <c r="I52" s="131"/>
      <c r="K52" s="368"/>
      <c r="O52" s="368"/>
    </row>
    <row r="53" spans="2:15" ht="15" thickBot="1" x14ac:dyDescent="0.2">
      <c r="K53" s="368"/>
      <c r="O53" s="368"/>
    </row>
    <row r="54" spans="2:15" x14ac:dyDescent="0.15">
      <c r="B54" s="113"/>
      <c r="C54" s="115"/>
      <c r="D54" s="115"/>
      <c r="E54" s="115"/>
      <c r="F54" s="115"/>
      <c r="G54" s="115"/>
      <c r="H54" s="115"/>
      <c r="I54" s="117"/>
      <c r="K54" s="368"/>
      <c r="O54" s="368"/>
    </row>
    <row r="55" spans="2:15" x14ac:dyDescent="0.15">
      <c r="B55" s="118"/>
      <c r="I55" s="119"/>
      <c r="K55" s="120"/>
      <c r="O55" s="120"/>
    </row>
    <row r="56" spans="2:15" x14ac:dyDescent="0.15">
      <c r="B56" s="118"/>
      <c r="I56" s="119"/>
      <c r="K56" s="120"/>
      <c r="O56" s="120"/>
    </row>
    <row r="57" spans="2:15" x14ac:dyDescent="0.15">
      <c r="B57" s="118"/>
      <c r="I57" s="119"/>
      <c r="K57" s="120"/>
      <c r="O57" s="120"/>
    </row>
    <row r="58" spans="2:15" x14ac:dyDescent="0.15">
      <c r="B58" s="118"/>
      <c r="I58" s="119"/>
      <c r="K58" s="120"/>
      <c r="O58" s="120"/>
    </row>
    <row r="59" spans="2:15" x14ac:dyDescent="0.15">
      <c r="B59" s="118"/>
      <c r="I59" s="119"/>
      <c r="K59" s="120"/>
      <c r="O59" s="120"/>
    </row>
    <row r="60" spans="2:15" x14ac:dyDescent="0.15">
      <c r="B60" s="118"/>
      <c r="I60" s="119"/>
      <c r="K60" s="120"/>
      <c r="O60" s="120"/>
    </row>
    <row r="61" spans="2:15" x14ac:dyDescent="0.15">
      <c r="B61" s="118"/>
      <c r="I61" s="119"/>
      <c r="K61" s="120"/>
      <c r="O61" s="120"/>
    </row>
    <row r="62" spans="2:15" x14ac:dyDescent="0.15">
      <c r="B62" s="118"/>
      <c r="I62" s="119"/>
      <c r="K62" s="120"/>
      <c r="O62" s="120"/>
    </row>
    <row r="63" spans="2:15" x14ac:dyDescent="0.15">
      <c r="B63" s="118"/>
      <c r="I63" s="119"/>
      <c r="K63" s="120"/>
      <c r="O63" s="120"/>
    </row>
    <row r="64" spans="2:15" x14ac:dyDescent="0.15">
      <c r="B64" s="118"/>
      <c r="I64" s="119"/>
      <c r="K64" s="120"/>
      <c r="O64" s="120"/>
    </row>
    <row r="65" spans="2:19" x14ac:dyDescent="0.15">
      <c r="B65" s="118"/>
      <c r="I65" s="119"/>
      <c r="K65" s="120"/>
      <c r="O65" s="120"/>
    </row>
    <row r="66" spans="2:19" x14ac:dyDescent="0.15">
      <c r="B66" s="118"/>
      <c r="I66" s="119"/>
      <c r="K66" s="120"/>
      <c r="O66" s="120"/>
    </row>
    <row r="67" spans="2:19" x14ac:dyDescent="0.15">
      <c r="B67" s="118"/>
      <c r="I67" s="119"/>
      <c r="K67" s="120"/>
      <c r="O67" s="120"/>
    </row>
    <row r="68" spans="2:19" x14ac:dyDescent="0.15">
      <c r="B68" s="118"/>
      <c r="I68" s="119"/>
      <c r="K68" s="120"/>
      <c r="O68" s="120"/>
    </row>
    <row r="69" spans="2:19" x14ac:dyDescent="0.15">
      <c r="B69" s="118"/>
      <c r="I69" s="119"/>
      <c r="K69" s="120"/>
      <c r="O69" s="120"/>
    </row>
    <row r="70" spans="2:19" x14ac:dyDescent="0.15">
      <c r="B70" s="118"/>
      <c r="I70" s="119"/>
      <c r="K70" s="120"/>
      <c r="O70" s="120"/>
    </row>
    <row r="71" spans="2:19" x14ac:dyDescent="0.15">
      <c r="B71" s="118"/>
      <c r="I71" s="119"/>
      <c r="K71" s="120"/>
      <c r="O71" s="120"/>
    </row>
    <row r="72" spans="2:19" x14ac:dyDescent="0.15">
      <c r="B72" s="118"/>
      <c r="C72" s="638" t="s">
        <v>323</v>
      </c>
      <c r="D72" s="638"/>
      <c r="E72" s="638"/>
      <c r="F72" s="638"/>
      <c r="G72" s="638"/>
      <c r="I72" s="119"/>
      <c r="K72" s="120"/>
      <c r="O72" s="120"/>
    </row>
    <row r="73" spans="2:19" ht="50.25" customHeight="1" thickBot="1" x14ac:dyDescent="0.2">
      <c r="B73" s="118"/>
      <c r="C73" s="133" t="s">
        <v>324</v>
      </c>
      <c r="D73" s="134" t="s">
        <v>325</v>
      </c>
      <c r="E73" s="134" t="s">
        <v>326</v>
      </c>
      <c r="F73" s="134" t="s">
        <v>327</v>
      </c>
      <c r="G73" s="134" t="s">
        <v>328</v>
      </c>
      <c r="I73" s="119"/>
      <c r="K73" s="639" t="s">
        <v>329</v>
      </c>
      <c r="L73" s="639"/>
      <c r="M73" s="639"/>
      <c r="N73" s="639"/>
      <c r="O73" s="639" t="s">
        <v>703</v>
      </c>
      <c r="P73" s="639"/>
      <c r="Q73" s="639"/>
      <c r="R73" s="639"/>
      <c r="S73" s="639"/>
    </row>
    <row r="74" spans="2:19" ht="18" customHeight="1" x14ac:dyDescent="0.15">
      <c r="B74" s="118"/>
      <c r="C74" s="157" t="s">
        <v>330</v>
      </c>
      <c r="D74" s="158">
        <f>'4.Inputs'!D33</f>
        <v>10000</v>
      </c>
      <c r="E74" s="159">
        <f t="shared" ref="E74:E77" si="4">IFERROR(D74/total_credits,"")</f>
        <v>0.02</v>
      </c>
      <c r="F74" s="160">
        <f>'4.Inputs'!E33</f>
        <v>4000</v>
      </c>
      <c r="G74" s="159">
        <f t="shared" ref="G74:G77" si="5">IFERROR(F74/total_credits_ndc,"")</f>
        <v>0.02</v>
      </c>
      <c r="I74" s="119"/>
      <c r="K74" s="639"/>
      <c r="L74" s="639"/>
      <c r="M74" s="639"/>
      <c r="N74" s="639"/>
      <c r="O74" s="639"/>
      <c r="P74" s="639"/>
      <c r="Q74" s="639"/>
      <c r="R74" s="639"/>
      <c r="S74" s="639"/>
    </row>
    <row r="75" spans="2:19" ht="18" customHeight="1" x14ac:dyDescent="0.15">
      <c r="B75" s="118"/>
      <c r="C75" s="161" t="s">
        <v>331</v>
      </c>
      <c r="D75" s="162">
        <f>'4.Inputs'!D35</f>
        <v>0</v>
      </c>
      <c r="E75" s="163">
        <f t="shared" si="4"/>
        <v>0</v>
      </c>
      <c r="F75" s="164">
        <f>'4.Inputs'!E35</f>
        <v>0</v>
      </c>
      <c r="G75" s="163">
        <f t="shared" si="5"/>
        <v>0</v>
      </c>
      <c r="I75" s="119"/>
      <c r="K75" s="639"/>
      <c r="L75" s="639"/>
      <c r="M75" s="639"/>
      <c r="N75" s="639"/>
      <c r="O75" s="639"/>
      <c r="P75" s="639"/>
      <c r="Q75" s="639"/>
      <c r="R75" s="639"/>
      <c r="S75" s="639"/>
    </row>
    <row r="76" spans="2:19" ht="18" customHeight="1" x14ac:dyDescent="0.15">
      <c r="B76" s="118"/>
      <c r="C76" s="161" t="s">
        <v>332</v>
      </c>
      <c r="D76" s="162">
        <f>withheld_authorized_credits</f>
        <v>3000</v>
      </c>
      <c r="E76" s="163">
        <f t="shared" si="4"/>
        <v>6.0000000000000001E-3</v>
      </c>
      <c r="F76" s="165">
        <f>withheld_authorized_ndc_credits</f>
        <v>1000</v>
      </c>
      <c r="G76" s="163">
        <f t="shared" si="5"/>
        <v>5.0000000000000001E-3</v>
      </c>
      <c r="I76" s="119"/>
      <c r="K76" s="368"/>
      <c r="O76" s="368"/>
    </row>
    <row r="77" spans="2:19" ht="18" customHeight="1" x14ac:dyDescent="0.15">
      <c r="B77" s="118"/>
      <c r="C77" s="166" t="s">
        <v>333</v>
      </c>
      <c r="D77" s="167">
        <f>SUM(D74:D76)</f>
        <v>13000</v>
      </c>
      <c r="E77" s="168">
        <f t="shared" si="4"/>
        <v>2.5999999999999999E-2</v>
      </c>
      <c r="F77" s="169">
        <f>SUM(F74:F76)</f>
        <v>5000</v>
      </c>
      <c r="G77" s="168">
        <f t="shared" si="5"/>
        <v>2.5000000000000001E-2</v>
      </c>
      <c r="I77" s="119"/>
      <c r="K77" s="368"/>
      <c r="O77" s="368"/>
    </row>
    <row r="78" spans="2:19" ht="15" thickBot="1" x14ac:dyDescent="0.2">
      <c r="B78" s="128"/>
      <c r="C78" s="130"/>
      <c r="D78" s="130"/>
      <c r="E78" s="130"/>
      <c r="F78" s="130"/>
      <c r="G78" s="130"/>
      <c r="H78" s="130"/>
      <c r="I78" s="131"/>
      <c r="K78" s="368"/>
      <c r="O78" s="368"/>
    </row>
    <row r="79" spans="2:19" ht="15" thickBot="1" x14ac:dyDescent="0.2">
      <c r="K79" s="368"/>
      <c r="O79" s="368"/>
    </row>
    <row r="80" spans="2:19" x14ac:dyDescent="0.15">
      <c r="B80" s="113"/>
      <c r="C80" s="115"/>
      <c r="D80" s="115"/>
      <c r="E80" s="115"/>
      <c r="F80" s="115"/>
      <c r="G80" s="115"/>
      <c r="H80" s="115"/>
      <c r="I80" s="117"/>
      <c r="K80" s="368"/>
      <c r="O80" s="368"/>
    </row>
    <row r="81" spans="2:19" x14ac:dyDescent="0.15">
      <c r="B81" s="118"/>
      <c r="C81" s="638" t="s">
        <v>334</v>
      </c>
      <c r="D81" s="638"/>
      <c r="E81" s="638"/>
      <c r="F81" s="638"/>
      <c r="I81" s="119"/>
      <c r="K81" s="368"/>
      <c r="O81" s="368"/>
    </row>
    <row r="82" spans="2:19" ht="31" thickBot="1" x14ac:dyDescent="0.2">
      <c r="B82" s="118"/>
      <c r="C82" s="133" t="s">
        <v>786</v>
      </c>
      <c r="D82" s="134" t="s">
        <v>335</v>
      </c>
      <c r="E82" s="134" t="s">
        <v>336</v>
      </c>
      <c r="F82" s="134"/>
      <c r="I82" s="119"/>
      <c r="K82" s="368"/>
      <c r="O82" s="368"/>
    </row>
    <row r="83" spans="2:19" ht="16" customHeight="1" x14ac:dyDescent="0.15">
      <c r="B83" s="118"/>
      <c r="C83" s="170" t="str">
        <f>'6.Gov operational costs'!C10</f>
        <v>Total annual operational costs</v>
      </c>
      <c r="D83" s="171">
        <f>'6.Gov operational costs'!D10</f>
        <v>0</v>
      </c>
      <c r="E83" s="172">
        <f>D83*fx_rate</f>
        <v>0</v>
      </c>
      <c r="I83" s="119"/>
      <c r="K83" s="368"/>
      <c r="O83" s="368"/>
    </row>
    <row r="84" spans="2:19" ht="16" customHeight="1" x14ac:dyDescent="0.15">
      <c r="B84" s="118"/>
      <c r="C84" s="173" t="str">
        <f>'6.Gov operational costs'!C11</f>
        <v>Total operational costs during project</v>
      </c>
      <c r="D84" s="174">
        <f>'6.Gov operational costs'!D11</f>
        <v>0</v>
      </c>
      <c r="E84" s="175">
        <f>D84*fx_rate</f>
        <v>0</v>
      </c>
      <c r="I84" s="119"/>
      <c r="K84" s="368"/>
      <c r="O84" s="368"/>
    </row>
    <row r="85" spans="2:19" ht="16" customHeight="1" x14ac:dyDescent="0.15">
      <c r="B85" s="118"/>
      <c r="C85" s="173" t="str">
        <f>'6.Gov operational costs'!C12</f>
        <v>Total operational costs during authorized years</v>
      </c>
      <c r="D85" s="174">
        <f>'6.Gov operational costs'!D12</f>
        <v>0</v>
      </c>
      <c r="E85" s="175">
        <f>D85*fx_rate</f>
        <v>0</v>
      </c>
      <c r="I85" s="119"/>
      <c r="K85" s="368"/>
      <c r="O85" s="368"/>
    </row>
    <row r="86" spans="2:19" ht="32.25" customHeight="1" x14ac:dyDescent="0.15">
      <c r="B86" s="118"/>
      <c r="C86" s="176" t="e">
        <f ca="1">D50/ABS('6.Gov operational costs'!D11)</f>
        <v>#DIV/0!</v>
      </c>
      <c r="D86" s="644" t="s">
        <v>337</v>
      </c>
      <c r="E86" s="644"/>
      <c r="F86" s="177"/>
      <c r="I86" s="119"/>
      <c r="K86" s="368"/>
      <c r="O86" s="368"/>
    </row>
    <row r="87" spans="2:19" ht="15" thickBot="1" x14ac:dyDescent="0.2">
      <c r="B87" s="128"/>
      <c r="C87" s="178"/>
      <c r="D87" s="178"/>
      <c r="E87" s="130"/>
      <c r="F87" s="130"/>
      <c r="G87" s="130"/>
      <c r="H87" s="130"/>
      <c r="I87" s="131"/>
      <c r="K87" s="368"/>
      <c r="O87" s="368"/>
    </row>
    <row r="88" spans="2:19" ht="15" thickBot="1" x14ac:dyDescent="0.2">
      <c r="C88" s="179"/>
      <c r="D88" s="179"/>
      <c r="K88" s="368"/>
      <c r="O88" s="368"/>
    </row>
    <row r="89" spans="2:19" x14ac:dyDescent="0.15">
      <c r="B89" s="113"/>
      <c r="C89" s="180"/>
      <c r="D89" s="180"/>
      <c r="E89" s="115"/>
      <c r="F89" s="115"/>
      <c r="G89" s="115"/>
      <c r="H89" s="115"/>
      <c r="I89" s="117"/>
      <c r="K89" s="368"/>
      <c r="O89" s="368"/>
    </row>
    <row r="90" spans="2:19" x14ac:dyDescent="0.15">
      <c r="B90" s="118"/>
      <c r="C90" s="638" t="s">
        <v>338</v>
      </c>
      <c r="D90" s="638"/>
      <c r="E90" s="638"/>
      <c r="F90" s="638"/>
      <c r="G90" s="638"/>
      <c r="I90" s="119"/>
      <c r="K90" s="368"/>
      <c r="O90" s="368"/>
    </row>
    <row r="91" spans="2:19" ht="15.75" customHeight="1" thickBot="1" x14ac:dyDescent="0.2">
      <c r="B91" s="118"/>
      <c r="C91" s="122" t="s">
        <v>339</v>
      </c>
      <c r="D91" s="181" t="s">
        <v>340</v>
      </c>
      <c r="E91" s="640" t="s">
        <v>341</v>
      </c>
      <c r="F91" s="640"/>
      <c r="G91" s="640"/>
      <c r="H91" s="122"/>
      <c r="I91" s="119"/>
      <c r="K91" s="639" t="s">
        <v>342</v>
      </c>
      <c r="L91" s="639"/>
      <c r="M91" s="639"/>
      <c r="N91" s="639"/>
      <c r="O91" s="639" t="s">
        <v>704</v>
      </c>
      <c r="P91" s="639"/>
      <c r="Q91" s="639"/>
      <c r="R91" s="639"/>
      <c r="S91" s="639"/>
    </row>
    <row r="92" spans="2:19" ht="20.25" customHeight="1" x14ac:dyDescent="0.15">
      <c r="B92" s="118"/>
      <c r="C92" s="182" t="s">
        <v>343</v>
      </c>
      <c r="D92" s="183">
        <f>non_authorized_credits_ndc/total_credits_ndc</f>
        <v>0.29399999999999998</v>
      </c>
      <c r="E92" s="558" t="str">
        <f>"of all credits contribute to NDC" &amp; " (" &amp; TEXT(non_authorized_credits_ndc, "#,##0") &amp; " non-authorized credits)."</f>
        <v>of all credits contribute to NDC (58,800 non-authorized credits).</v>
      </c>
      <c r="F92" s="558"/>
      <c r="G92" s="558"/>
      <c r="H92" s="184"/>
      <c r="I92" s="119"/>
      <c r="K92" s="639"/>
      <c r="L92" s="639"/>
      <c r="M92" s="639"/>
      <c r="N92" s="639"/>
      <c r="O92" s="639"/>
      <c r="P92" s="639"/>
      <c r="Q92" s="639"/>
      <c r="R92" s="639"/>
      <c r="S92" s="639"/>
    </row>
    <row r="93" spans="2:19" ht="20.25" customHeight="1" x14ac:dyDescent="0.15">
      <c r="B93" s="118"/>
      <c r="C93" s="161" t="s">
        <v>344</v>
      </c>
      <c r="D93" s="185">
        <f>'8.NDC contribution'!D6</f>
        <v>1500000</v>
      </c>
      <c r="E93" s="637" t="s">
        <v>345</v>
      </c>
      <c r="F93" s="637"/>
      <c r="G93" s="637"/>
      <c r="H93" s="186"/>
      <c r="I93" s="119"/>
      <c r="K93" s="639"/>
      <c r="L93" s="639"/>
      <c r="M93" s="639"/>
      <c r="N93" s="639"/>
      <c r="O93" s="639"/>
      <c r="P93" s="639"/>
      <c r="Q93" s="639"/>
      <c r="R93" s="639"/>
      <c r="S93" s="639"/>
    </row>
    <row r="94" spans="2:19" ht="20.25" customHeight="1" x14ac:dyDescent="0.15">
      <c r="B94" s="118"/>
      <c r="C94" s="161" t="s">
        <v>346</v>
      </c>
      <c r="D94" s="168">
        <f>IFERROR(non_authorized_credits_ndc/D93,"")</f>
        <v>3.9199999999999999E-2</v>
      </c>
      <c r="E94" s="637" t="str">
        <f>"of national NDC target is accomplished via project."</f>
        <v>of national NDC target is accomplished via project.</v>
      </c>
      <c r="F94" s="637"/>
      <c r="G94" s="637"/>
      <c r="H94" s="186"/>
      <c r="I94" s="119"/>
      <c r="K94" s="368"/>
      <c r="O94" s="368"/>
    </row>
    <row r="95" spans="2:19" ht="20.25" customHeight="1" x14ac:dyDescent="0.15">
      <c r="B95" s="118"/>
      <c r="C95" s="161" t="s">
        <v>347</v>
      </c>
      <c r="D95" s="185">
        <f>'8.NDC contribution'!D7</f>
        <v>1000000</v>
      </c>
      <c r="E95" s="637" t="s">
        <v>348</v>
      </c>
      <c r="F95" s="637"/>
      <c r="G95" s="637"/>
      <c r="H95" s="186"/>
      <c r="I95" s="119"/>
      <c r="K95" s="368"/>
      <c r="O95" s="368"/>
    </row>
    <row r="96" spans="2:19" ht="20.25" customHeight="1" x14ac:dyDescent="0.15">
      <c r="B96" s="118"/>
      <c r="C96" s="161" t="s">
        <v>349</v>
      </c>
      <c r="D96" s="168">
        <f>IFERROR(non_authorized_credits_ndc/D95,"")</f>
        <v>5.8799999999999998E-2</v>
      </c>
      <c r="E96" s="637" t="str">
        <f>"of sectoral NDC target is accomplished via project."</f>
        <v>of sectoral NDC target is accomplished via project.</v>
      </c>
      <c r="F96" s="637"/>
      <c r="G96" s="637"/>
      <c r="H96" s="186"/>
      <c r="I96" s="119"/>
      <c r="K96" s="639" t="s">
        <v>350</v>
      </c>
      <c r="L96" s="639"/>
      <c r="M96" s="639"/>
      <c r="N96" s="639"/>
      <c r="O96" s="639" t="s">
        <v>705</v>
      </c>
      <c r="P96" s="639"/>
      <c r="Q96" s="639"/>
      <c r="R96" s="639"/>
      <c r="S96" s="639"/>
    </row>
    <row r="97" spans="2:19" ht="20.25" customHeight="1" x14ac:dyDescent="0.15">
      <c r="B97" s="118"/>
      <c r="C97" s="187" t="s">
        <v>351</v>
      </c>
      <c r="D97" s="185">
        <f>SUM(D76:D76)</f>
        <v>3000</v>
      </c>
      <c r="E97" s="637"/>
      <c r="F97" s="637"/>
      <c r="G97" s="637"/>
      <c r="H97" s="186"/>
      <c r="I97" s="119"/>
      <c r="K97" s="639"/>
      <c r="L97" s="639"/>
      <c r="M97" s="639"/>
      <c r="N97" s="639"/>
      <c r="O97" s="639"/>
      <c r="P97" s="639"/>
      <c r="Q97" s="639"/>
      <c r="R97" s="639"/>
      <c r="S97" s="639"/>
    </row>
    <row r="98" spans="2:19" ht="15" thickBot="1" x14ac:dyDescent="0.2">
      <c r="B98" s="128"/>
      <c r="C98" s="130"/>
      <c r="D98" s="130"/>
      <c r="E98" s="130"/>
      <c r="F98" s="130"/>
      <c r="G98" s="130"/>
      <c r="H98" s="130"/>
      <c r="I98" s="131"/>
      <c r="K98" s="368"/>
      <c r="O98" s="368"/>
    </row>
    <row r="99" spans="2:19" x14ac:dyDescent="0.15">
      <c r="K99" s="369"/>
      <c r="O99" s="369"/>
    </row>
    <row r="100" spans="2:19" x14ac:dyDescent="0.15">
      <c r="K100" s="369"/>
      <c r="O100" s="369"/>
    </row>
    <row r="101" spans="2:19" ht="15" customHeight="1" x14ac:dyDescent="0.15">
      <c r="K101" s="369"/>
      <c r="O101" s="369"/>
    </row>
    <row r="102" spans="2:19" ht="15" customHeight="1" x14ac:dyDescent="0.15">
      <c r="K102" s="369"/>
      <c r="O102" s="369"/>
    </row>
    <row r="103" spans="2:19" ht="15" customHeight="1" x14ac:dyDescent="0.15"/>
    <row r="104" spans="2:19" ht="15.75" customHeight="1" x14ac:dyDescent="0.15"/>
    <row r="105" spans="2:19" x14ac:dyDescent="0.15">
      <c r="J105" s="188"/>
    </row>
    <row r="106" spans="2:19" x14ac:dyDescent="0.15">
      <c r="J106" s="189"/>
    </row>
    <row r="107" spans="2:19" x14ac:dyDescent="0.15">
      <c r="J107" s="189"/>
    </row>
    <row r="108" spans="2:19" x14ac:dyDescent="0.15">
      <c r="J108" s="189"/>
    </row>
  </sheetData>
  <sheetProtection algorithmName="SHA-512" hashValue="TSmWtZ7Pw768jPsRgq7SnZAdqhuf3+mjNdoNvvMzNT4iVBJLoAnsiWiq0+553I+Aq7+6eijkVu7dBvjN5eh8bQ==" saltValue="E5ICEW6IuWUfx4hmChmZjw==" spinCount="100000" sheet="1" objects="1" scenarios="1"/>
  <mergeCells count="30">
    <mergeCell ref="K5:N5"/>
    <mergeCell ref="O5:S5"/>
    <mergeCell ref="B2:I2"/>
    <mergeCell ref="G42:I42"/>
    <mergeCell ref="D86:E86"/>
    <mergeCell ref="K46:N46"/>
    <mergeCell ref="K23:N25"/>
    <mergeCell ref="O46:S46"/>
    <mergeCell ref="K20:N20"/>
    <mergeCell ref="O20:S20"/>
    <mergeCell ref="O23:R25"/>
    <mergeCell ref="K45:N45"/>
    <mergeCell ref="K44:N44"/>
    <mergeCell ref="O44:S44"/>
    <mergeCell ref="O45:S45"/>
    <mergeCell ref="E93:G93"/>
    <mergeCell ref="E94:G94"/>
    <mergeCell ref="C72:G72"/>
    <mergeCell ref="K96:N97"/>
    <mergeCell ref="O96:S97"/>
    <mergeCell ref="E97:G97"/>
    <mergeCell ref="E91:G91"/>
    <mergeCell ref="E95:G95"/>
    <mergeCell ref="E96:G96"/>
    <mergeCell ref="C90:G90"/>
    <mergeCell ref="C81:F81"/>
    <mergeCell ref="O73:S75"/>
    <mergeCell ref="K73:N75"/>
    <mergeCell ref="O91:S93"/>
    <mergeCell ref="K91:N93"/>
  </mergeCells>
  <conditionalFormatting sqref="C45:D49">
    <cfRule type="expression" dxfId="97" priority="10">
      <formula>#REF!="USD"</formula>
    </cfRule>
    <cfRule type="expression" dxfId="96" priority="11">
      <formula>#REF!="In kind"</formula>
    </cfRule>
  </conditionalFormatting>
  <conditionalFormatting sqref="E21:E24">
    <cfRule type="expression" dxfId="95" priority="7">
      <formula>ndc_cover="No"</formula>
    </cfRule>
  </conditionalFormatting>
  <conditionalFormatting sqref="G45:G49">
    <cfRule type="expression" dxfId="94" priority="5">
      <formula>#REF!="USD"</formula>
    </cfRule>
    <cfRule type="expression" dxfId="93" priority="6">
      <formula>#REF!="In kind"</formula>
    </cfRule>
  </conditionalFormatting>
  <conditionalFormatting sqref="D50:I51">
    <cfRule type="cellIs" dxfId="92" priority="3" operator="lessThan">
      <formula>0</formula>
    </cfRule>
    <cfRule type="cellIs" dxfId="91" priority="4" operator="greaterThan">
      <formula>0</formula>
    </cfRule>
  </conditionalFormatting>
  <conditionalFormatting sqref="E20">
    <cfRule type="expression" dxfId="90" priority="2">
      <formula>ndc_cover="No"</formula>
    </cfRule>
  </conditionalFormatting>
  <conditionalFormatting sqref="D20:D24">
    <cfRule type="expression" dxfId="89" priority="1">
      <formula>ndc_cover="No"</formula>
    </cfRule>
  </conditionalFormatting>
  <pageMargins left="0.7" right="0.7" top="0.75" bottom="0.75" header="0.3" footer="0.3"/>
  <pageSetup paperSize="9"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3F942-AD65-45E6-BDAA-BB6944A67E5F}">
  <sheetPr codeName="Sheet5">
    <tabColor theme="9"/>
  </sheetPr>
  <dimension ref="B1:M145"/>
  <sheetViews>
    <sheetView showGridLines="0" zoomScale="125" zoomScaleNormal="140" workbookViewId="0"/>
  </sheetViews>
  <sheetFormatPr baseColWidth="10" defaultColWidth="11.140625" defaultRowHeight="16" x14ac:dyDescent="0.2"/>
  <cols>
    <col min="1" max="1" width="4.7109375" style="192" customWidth="1"/>
    <col min="2" max="2" width="2.28515625" style="280" customWidth="1"/>
    <col min="3" max="3" width="57.140625" style="223" customWidth="1"/>
    <col min="4" max="4" width="12.7109375" style="287" customWidth="1"/>
    <col min="5" max="5" width="14.28515625" style="213" customWidth="1"/>
    <col min="6" max="6" width="1.28515625" style="192" customWidth="1"/>
    <col min="7" max="7" width="17.7109375" style="356" customWidth="1"/>
    <col min="8" max="8" width="17.7109375" style="192" customWidth="1"/>
    <col min="9" max="9" width="17.85546875" style="192" customWidth="1"/>
    <col min="10" max="10" width="64.85546875" style="192" customWidth="1"/>
    <col min="11" max="12" width="15.28515625" style="192" customWidth="1"/>
    <col min="13" max="16384" width="11.140625" style="192"/>
  </cols>
  <sheetData>
    <row r="1" spans="2:13" x14ac:dyDescent="0.2">
      <c r="J1" s="533"/>
    </row>
    <row r="2" spans="2:13" ht="75" customHeight="1" x14ac:dyDescent="0.2">
      <c r="B2" s="650" t="s">
        <v>352</v>
      </c>
      <c r="C2" s="650"/>
      <c r="D2" s="650"/>
      <c r="E2" s="650"/>
      <c r="F2" s="650"/>
      <c r="G2" s="650"/>
      <c r="H2" s="650"/>
      <c r="I2" s="650"/>
      <c r="J2" s="534"/>
      <c r="K2" s="191"/>
      <c r="L2" s="191"/>
      <c r="M2" s="191"/>
    </row>
    <row r="3" spans="2:13" s="197" customFormat="1" ht="15.75" customHeight="1" x14ac:dyDescent="0.2">
      <c r="B3" s="193"/>
      <c r="C3" s="194"/>
      <c r="D3" s="195"/>
      <c r="E3" s="196"/>
      <c r="F3" s="194"/>
      <c r="G3" s="353"/>
      <c r="H3" s="194"/>
      <c r="I3" s="194"/>
      <c r="J3" s="535"/>
      <c r="K3" s="194"/>
      <c r="L3" s="194"/>
      <c r="M3" s="194"/>
    </row>
    <row r="4" spans="2:13" ht="15" customHeight="1" thickBot="1" x14ac:dyDescent="0.25">
      <c r="B4" s="648" t="s">
        <v>353</v>
      </c>
      <c r="C4" s="648"/>
      <c r="D4" s="648"/>
      <c r="E4" s="354"/>
      <c r="F4" s="198"/>
      <c r="G4" s="653" t="s">
        <v>294</v>
      </c>
      <c r="H4" s="653"/>
      <c r="I4" s="653"/>
      <c r="J4" s="652" t="s">
        <v>354</v>
      </c>
      <c r="K4" s="653"/>
      <c r="L4" s="653"/>
      <c r="M4" s="198"/>
    </row>
    <row r="5" spans="2:13" ht="31.5" customHeight="1" thickBot="1" x14ac:dyDescent="0.25">
      <c r="B5" s="199" t="s">
        <v>355</v>
      </c>
      <c r="C5" s="200" t="s">
        <v>356</v>
      </c>
      <c r="D5" s="201"/>
      <c r="E5" s="202"/>
      <c r="F5" s="203"/>
      <c r="G5" s="355"/>
      <c r="H5" s="357"/>
      <c r="I5" s="357"/>
      <c r="J5" s="357"/>
    </row>
    <row r="6" spans="2:13" ht="15.75" customHeight="1" x14ac:dyDescent="0.2">
      <c r="B6" s="204"/>
      <c r="C6" s="64"/>
      <c r="D6" s="205" t="s">
        <v>357</v>
      </c>
      <c r="E6" s="206"/>
      <c r="F6" s="207"/>
      <c r="G6" s="647" t="s">
        <v>358</v>
      </c>
      <c r="H6" s="646"/>
      <c r="I6" s="646"/>
      <c r="J6" s="646" t="s">
        <v>706</v>
      </c>
    </row>
    <row r="7" spans="2:13" x14ac:dyDescent="0.2">
      <c r="B7" s="204"/>
      <c r="C7" s="400" t="s">
        <v>359</v>
      </c>
      <c r="D7" s="10" t="s">
        <v>360</v>
      </c>
      <c r="E7" s="208"/>
      <c r="F7" s="209"/>
      <c r="G7" s="647"/>
      <c r="H7" s="646"/>
      <c r="I7" s="646"/>
      <c r="J7" s="646"/>
    </row>
    <row r="8" spans="2:13" ht="39" x14ac:dyDescent="0.2">
      <c r="B8" s="204"/>
      <c r="C8" s="210" t="s">
        <v>361</v>
      </c>
      <c r="D8" s="11" t="s">
        <v>362</v>
      </c>
      <c r="E8" s="208"/>
      <c r="F8" s="209"/>
      <c r="G8" s="647" t="s">
        <v>363</v>
      </c>
      <c r="H8" s="646"/>
      <c r="I8" s="646"/>
      <c r="J8" s="381" t="s">
        <v>758</v>
      </c>
    </row>
    <row r="9" spans="2:13" x14ac:dyDescent="0.2">
      <c r="B9" s="204"/>
      <c r="C9" s="401" t="s">
        <v>364</v>
      </c>
      <c r="D9" s="12"/>
      <c r="E9" s="208"/>
      <c r="F9" s="209"/>
      <c r="G9" s="647"/>
      <c r="H9" s="646"/>
      <c r="I9" s="646"/>
      <c r="J9" s="381"/>
    </row>
    <row r="10" spans="2:13" ht="22" customHeight="1" x14ac:dyDescent="0.2">
      <c r="B10" s="204"/>
      <c r="C10" s="549" t="s">
        <v>776</v>
      </c>
      <c r="D10" s="13">
        <v>500000</v>
      </c>
      <c r="E10" s="211"/>
      <c r="F10" s="209"/>
      <c r="G10" s="646" t="s">
        <v>791</v>
      </c>
      <c r="H10" s="646"/>
      <c r="I10" s="646"/>
      <c r="J10" s="381" t="s">
        <v>797</v>
      </c>
    </row>
    <row r="11" spans="2:13" ht="16" customHeight="1" x14ac:dyDescent="0.2">
      <c r="B11" s="204"/>
      <c r="C11" s="210" t="s">
        <v>365</v>
      </c>
      <c r="D11" s="13" t="s">
        <v>362</v>
      </c>
      <c r="E11" s="208"/>
      <c r="F11" s="209"/>
      <c r="G11" s="647" t="s">
        <v>366</v>
      </c>
      <c r="H11" s="646"/>
      <c r="I11" s="646"/>
      <c r="J11" s="646" t="s">
        <v>759</v>
      </c>
    </row>
    <row r="12" spans="2:13" x14ac:dyDescent="0.2">
      <c r="B12" s="212"/>
      <c r="C12" s="549" t="s">
        <v>777</v>
      </c>
      <c r="D12" s="11">
        <v>20</v>
      </c>
      <c r="F12" s="209"/>
      <c r="G12" s="647"/>
      <c r="H12" s="646"/>
      <c r="I12" s="646"/>
      <c r="J12" s="646"/>
    </row>
    <row r="13" spans="2:13" x14ac:dyDescent="0.2">
      <c r="B13" s="204"/>
      <c r="C13" s="210" t="s">
        <v>367</v>
      </c>
      <c r="D13" s="11">
        <v>2027</v>
      </c>
      <c r="E13" s="208"/>
      <c r="F13" s="209"/>
      <c r="G13" s="647"/>
      <c r="H13" s="646"/>
      <c r="I13" s="646"/>
      <c r="J13" s="646"/>
    </row>
    <row r="14" spans="2:13" x14ac:dyDescent="0.2">
      <c r="B14" s="204"/>
      <c r="C14" s="210" t="s">
        <v>368</v>
      </c>
      <c r="D14" s="214">
        <f>D13+D12</f>
        <v>2047</v>
      </c>
      <c r="E14" s="215"/>
      <c r="F14" s="209"/>
      <c r="G14" s="647"/>
      <c r="H14" s="646"/>
      <c r="I14" s="646"/>
      <c r="J14" s="646"/>
    </row>
    <row r="15" spans="2:13" x14ac:dyDescent="0.2">
      <c r="B15" s="204"/>
      <c r="C15" s="210" t="s">
        <v>369</v>
      </c>
      <c r="D15" s="216">
        <f>IFERROR(total_credits/D12,total_credits)</f>
        <v>25000</v>
      </c>
      <c r="E15" s="208"/>
      <c r="F15" s="209"/>
      <c r="G15" s="648" t="s">
        <v>370</v>
      </c>
      <c r="H15" s="648"/>
      <c r="I15" s="648"/>
      <c r="J15" s="381" t="s">
        <v>707</v>
      </c>
    </row>
    <row r="16" spans="2:13" x14ac:dyDescent="0.2">
      <c r="B16" s="204"/>
      <c r="C16" s="401" t="s">
        <v>371</v>
      </c>
      <c r="D16" s="14">
        <v>10</v>
      </c>
      <c r="E16" s="208"/>
      <c r="F16" s="209"/>
      <c r="G16" s="648" t="s">
        <v>372</v>
      </c>
      <c r="H16" s="648"/>
      <c r="I16" s="648"/>
      <c r="J16" s="381" t="s">
        <v>708</v>
      </c>
    </row>
    <row r="17" spans="2:13" x14ac:dyDescent="0.2">
      <c r="B17" s="204"/>
      <c r="C17" s="401" t="s">
        <v>373</v>
      </c>
      <c r="D17" s="14">
        <v>20</v>
      </c>
      <c r="E17" s="217"/>
      <c r="F17" s="209"/>
      <c r="G17" s="648" t="s">
        <v>374</v>
      </c>
      <c r="H17" s="648"/>
      <c r="I17" s="648"/>
      <c r="J17" s="381" t="s">
        <v>709</v>
      </c>
    </row>
    <row r="18" spans="2:13" ht="17" thickBot="1" x14ac:dyDescent="0.25">
      <c r="B18" s="218"/>
      <c r="C18" s="391"/>
      <c r="D18" s="219"/>
      <c r="E18" s="220"/>
      <c r="F18" s="221"/>
      <c r="G18" s="354"/>
      <c r="H18" s="354"/>
      <c r="I18" s="354"/>
      <c r="J18" s="381"/>
    </row>
    <row r="19" spans="2:13" ht="18" customHeight="1" thickBot="1" x14ac:dyDescent="0.25">
      <c r="B19" s="222"/>
      <c r="D19" s="224"/>
      <c r="E19" s="225"/>
      <c r="G19" s="647" t="s">
        <v>375</v>
      </c>
      <c r="H19" s="646"/>
      <c r="I19" s="646"/>
      <c r="J19" s="646" t="s">
        <v>760</v>
      </c>
      <c r="K19" s="543"/>
      <c r="L19" s="543"/>
      <c r="M19" s="543"/>
    </row>
    <row r="20" spans="2:13" ht="31.5" customHeight="1" x14ac:dyDescent="0.2">
      <c r="B20" s="199" t="s">
        <v>376</v>
      </c>
      <c r="C20" s="200" t="s">
        <v>377</v>
      </c>
      <c r="D20" s="226"/>
      <c r="E20" s="227"/>
      <c r="F20" s="203"/>
      <c r="G20" s="647"/>
      <c r="H20" s="646"/>
      <c r="I20" s="646"/>
      <c r="J20" s="646"/>
      <c r="K20" s="543"/>
      <c r="L20" s="543"/>
    </row>
    <row r="21" spans="2:13" s="197" customFormat="1" ht="24" customHeight="1" x14ac:dyDescent="0.2">
      <c r="B21" s="204"/>
      <c r="C21" s="37"/>
      <c r="D21" s="228"/>
      <c r="E21" s="229"/>
      <c r="F21" s="207"/>
      <c r="G21" s="647"/>
      <c r="H21" s="646"/>
      <c r="I21" s="646"/>
      <c r="J21" s="646"/>
      <c r="K21" s="543"/>
      <c r="L21" s="543"/>
    </row>
    <row r="22" spans="2:13" ht="16" customHeight="1" x14ac:dyDescent="0.2">
      <c r="B22" s="204"/>
      <c r="C22" s="210" t="s">
        <v>379</v>
      </c>
      <c r="D22" s="11">
        <v>2035</v>
      </c>
      <c r="E22" s="230"/>
      <c r="F22" s="209"/>
      <c r="G22" s="647" t="s">
        <v>380</v>
      </c>
      <c r="H22" s="646"/>
      <c r="I22" s="646"/>
      <c r="J22" s="646" t="s">
        <v>710</v>
      </c>
    </row>
    <row r="23" spans="2:13" ht="16" customHeight="1" x14ac:dyDescent="0.2">
      <c r="B23" s="204"/>
      <c r="C23" s="401" t="s">
        <v>381</v>
      </c>
      <c r="D23" s="11">
        <v>8</v>
      </c>
      <c r="E23" s="231"/>
      <c r="F23" s="209"/>
      <c r="G23" s="647"/>
      <c r="H23" s="646"/>
      <c r="I23" s="646"/>
      <c r="J23" s="646"/>
    </row>
    <row r="24" spans="2:13" x14ac:dyDescent="0.2">
      <c r="B24" s="204"/>
      <c r="C24" s="401" t="s">
        <v>382</v>
      </c>
      <c r="D24" s="216">
        <f>annual_credits*D23</f>
        <v>200000</v>
      </c>
      <c r="E24" s="232"/>
      <c r="F24" s="209"/>
      <c r="G24" s="651" t="s">
        <v>383</v>
      </c>
      <c r="H24" s="648"/>
      <c r="I24" s="648"/>
      <c r="J24" s="381" t="s">
        <v>711</v>
      </c>
    </row>
    <row r="25" spans="2:13" ht="26" x14ac:dyDescent="0.2">
      <c r="B25" s="204"/>
      <c r="C25" s="401" t="s">
        <v>384</v>
      </c>
      <c r="D25" s="216">
        <f>(D22-D13)*annual_credits</f>
        <v>200000</v>
      </c>
      <c r="E25" s="217"/>
      <c r="F25" s="209"/>
      <c r="G25" s="648" t="s">
        <v>385</v>
      </c>
      <c r="H25" s="648"/>
      <c r="I25" s="648"/>
      <c r="J25" s="381" t="s">
        <v>712</v>
      </c>
    </row>
    <row r="26" spans="2:13" x14ac:dyDescent="0.2">
      <c r="B26" s="204"/>
      <c r="C26" s="401" t="s">
        <v>386</v>
      </c>
      <c r="D26" s="233">
        <f>total_credits-D24</f>
        <v>300000</v>
      </c>
      <c r="F26" s="209"/>
      <c r="G26" s="651" t="s">
        <v>387</v>
      </c>
      <c r="H26" s="648"/>
      <c r="I26" s="648"/>
      <c r="J26" s="646"/>
      <c r="K26" s="648"/>
    </row>
    <row r="27" spans="2:13" ht="17" thickBot="1" x14ac:dyDescent="0.25">
      <c r="B27" s="218"/>
      <c r="C27" s="391"/>
      <c r="D27" s="235"/>
      <c r="E27" s="220"/>
      <c r="F27" s="221"/>
      <c r="G27" s="354"/>
      <c r="H27" s="234"/>
      <c r="I27" s="234"/>
      <c r="J27" s="536"/>
    </row>
    <row r="28" spans="2:13" ht="17.25" customHeight="1" thickBot="1" x14ac:dyDescent="0.25">
      <c r="B28" s="222"/>
      <c r="C28" s="402"/>
      <c r="D28" s="186"/>
      <c r="E28" s="217"/>
      <c r="G28" s="357"/>
      <c r="H28" s="357"/>
      <c r="I28" s="357"/>
      <c r="J28" s="357"/>
    </row>
    <row r="29" spans="2:13" ht="32.25" customHeight="1" x14ac:dyDescent="0.2">
      <c r="B29" s="199" t="s">
        <v>388</v>
      </c>
      <c r="C29" s="236" t="s">
        <v>389</v>
      </c>
      <c r="D29" s="226"/>
      <c r="E29" s="237"/>
      <c r="F29" s="238"/>
      <c r="G29" s="647" t="s">
        <v>390</v>
      </c>
      <c r="H29" s="646"/>
      <c r="I29" s="646"/>
      <c r="J29" s="381" t="s">
        <v>713</v>
      </c>
    </row>
    <row r="30" spans="2:13" s="197" customFormat="1" ht="15.75" customHeight="1" x14ac:dyDescent="0.2">
      <c r="B30" s="204"/>
      <c r="C30" s="239"/>
      <c r="D30" s="228"/>
      <c r="E30" s="240"/>
      <c r="F30" s="241"/>
      <c r="G30" s="647"/>
      <c r="H30" s="646"/>
      <c r="I30" s="646"/>
      <c r="J30" s="381"/>
    </row>
    <row r="31" spans="2:13" ht="31.5" customHeight="1" thickBot="1" x14ac:dyDescent="0.25">
      <c r="B31" s="242"/>
      <c r="D31" s="177" t="s">
        <v>297</v>
      </c>
      <c r="E31" s="243" t="s">
        <v>298</v>
      </c>
      <c r="F31" s="244"/>
      <c r="G31" s="647"/>
      <c r="H31" s="646"/>
      <c r="I31" s="646"/>
      <c r="J31" s="381"/>
    </row>
    <row r="32" spans="2:13" ht="26" x14ac:dyDescent="0.2">
      <c r="B32" s="204"/>
      <c r="C32" s="403" t="s">
        <v>391</v>
      </c>
      <c r="D32" s="15">
        <v>0.02</v>
      </c>
      <c r="E32" s="245"/>
      <c r="F32" s="209"/>
      <c r="G32" s="647" t="s">
        <v>392</v>
      </c>
      <c r="H32" s="646"/>
      <c r="I32" s="646"/>
      <c r="J32" s="381" t="s">
        <v>714</v>
      </c>
    </row>
    <row r="33" spans="2:10" x14ac:dyDescent="0.2">
      <c r="B33" s="204"/>
      <c r="C33" s="401" t="s">
        <v>393</v>
      </c>
      <c r="D33" s="246">
        <f>D32*total_credits</f>
        <v>10000</v>
      </c>
      <c r="E33" s="247">
        <f>D32*total_credits_ndc</f>
        <v>4000</v>
      </c>
      <c r="F33" s="209"/>
      <c r="G33" s="647"/>
      <c r="H33" s="646"/>
      <c r="I33" s="646"/>
      <c r="J33" s="381"/>
    </row>
    <row r="34" spans="2:10" ht="26" x14ac:dyDescent="0.2">
      <c r="B34" s="204"/>
      <c r="C34" s="401" t="s">
        <v>394</v>
      </c>
      <c r="D34" s="16">
        <v>0</v>
      </c>
      <c r="E34" s="248"/>
      <c r="F34" s="209"/>
      <c r="G34" s="647" t="s">
        <v>395</v>
      </c>
      <c r="H34" s="646"/>
      <c r="I34" s="646"/>
      <c r="J34" s="381" t="s">
        <v>715</v>
      </c>
    </row>
    <row r="35" spans="2:10" x14ac:dyDescent="0.2">
      <c r="B35" s="204"/>
      <c r="C35" s="401" t="s">
        <v>396</v>
      </c>
      <c r="D35" s="246">
        <f>D34*total_credits</f>
        <v>0</v>
      </c>
      <c r="E35" s="247">
        <f>D34*total_credits_ndc</f>
        <v>0</v>
      </c>
      <c r="F35" s="209"/>
      <c r="G35" s="647"/>
      <c r="H35" s="646"/>
      <c r="I35" s="646"/>
      <c r="J35" s="381"/>
    </row>
    <row r="36" spans="2:10" x14ac:dyDescent="0.2">
      <c r="B36" s="204"/>
      <c r="C36" s="401" t="s">
        <v>397</v>
      </c>
      <c r="D36" s="246">
        <f>total_credits-D33-D35</f>
        <v>490000</v>
      </c>
      <c r="E36" s="247">
        <f>total_credits_ndc-E33-E35</f>
        <v>196000</v>
      </c>
      <c r="F36" s="209"/>
      <c r="G36" s="648" t="s">
        <v>398</v>
      </c>
      <c r="H36" s="648"/>
      <c r="I36" s="648"/>
      <c r="J36" s="381" t="s">
        <v>716</v>
      </c>
    </row>
    <row r="37" spans="2:10" ht="17" thickBot="1" x14ac:dyDescent="0.25">
      <c r="B37" s="218"/>
      <c r="C37" s="249"/>
      <c r="D37" s="250"/>
      <c r="E37" s="251"/>
      <c r="F37" s="221"/>
      <c r="G37" s="354"/>
      <c r="H37" s="234"/>
      <c r="I37" s="234"/>
      <c r="J37" s="536"/>
    </row>
    <row r="38" spans="2:10" ht="17" thickBot="1" x14ac:dyDescent="0.25">
      <c r="B38" s="222"/>
      <c r="C38" s="252"/>
      <c r="D38" s="186"/>
      <c r="E38" s="211"/>
      <c r="G38" s="354"/>
      <c r="H38" s="234"/>
      <c r="I38" s="234"/>
      <c r="J38" s="536"/>
    </row>
    <row r="39" spans="2:10" ht="32.25" customHeight="1" thickBot="1" x14ac:dyDescent="0.25">
      <c r="B39" s="253" t="s">
        <v>399</v>
      </c>
      <c r="C39" s="236" t="s">
        <v>400</v>
      </c>
      <c r="D39" s="226"/>
      <c r="E39" s="202"/>
      <c r="F39" s="203"/>
      <c r="G39" s="647"/>
      <c r="H39" s="646"/>
      <c r="I39" s="646"/>
      <c r="J39" s="381"/>
    </row>
    <row r="40" spans="2:10" ht="15.75" customHeight="1" x14ac:dyDescent="0.2">
      <c r="B40" s="254"/>
      <c r="C40" s="255"/>
      <c r="D40" s="186"/>
      <c r="E40" s="211"/>
      <c r="F40" s="209"/>
      <c r="G40" s="354"/>
      <c r="H40" s="234"/>
      <c r="I40" s="234"/>
      <c r="J40" s="536"/>
    </row>
    <row r="41" spans="2:10" ht="31.5" customHeight="1" thickBot="1" x14ac:dyDescent="0.25">
      <c r="B41" s="256"/>
      <c r="C41" s="257"/>
      <c r="D41" s="258" t="s">
        <v>297</v>
      </c>
      <c r="E41" s="259" t="s">
        <v>298</v>
      </c>
      <c r="F41" s="209"/>
      <c r="G41" s="647" t="s">
        <v>401</v>
      </c>
      <c r="H41" s="646"/>
      <c r="I41" s="646"/>
      <c r="J41" s="381" t="s">
        <v>717</v>
      </c>
    </row>
    <row r="42" spans="2:10" x14ac:dyDescent="0.2">
      <c r="B42" s="204"/>
      <c r="C42" s="529" t="s">
        <v>692</v>
      </c>
      <c r="D42" s="530" t="s">
        <v>471</v>
      </c>
      <c r="E42" s="522"/>
      <c r="F42" s="209"/>
      <c r="G42" s="354" t="s">
        <v>694</v>
      </c>
      <c r="H42" s="381"/>
      <c r="I42" s="381"/>
      <c r="J42" s="354" t="s">
        <v>718</v>
      </c>
    </row>
    <row r="43" spans="2:10" ht="26" x14ac:dyDescent="0.2">
      <c r="B43" s="204"/>
      <c r="C43" s="529" t="s">
        <v>691</v>
      </c>
      <c r="D43" s="531">
        <v>300000</v>
      </c>
      <c r="E43" s="531">
        <v>100000</v>
      </c>
      <c r="F43" s="209"/>
      <c r="G43" s="354" t="str">
        <f>"The maximum total amount of authorized credits is equal to the remaining tradeable credits after SOP+OMGE (" &amp; TEXT(D36,"#,##0") &amp; " credits)."</f>
        <v>The maximum total amount of authorized credits is equal to the remaining tradeable credits after SOP+OMGE (490,000 credits).</v>
      </c>
      <c r="H43" s="381"/>
      <c r="I43" s="381"/>
      <c r="J43" s="381" t="s">
        <v>719</v>
      </c>
    </row>
    <row r="44" spans="2:10" ht="26" x14ac:dyDescent="0.2">
      <c r="B44" s="204"/>
      <c r="C44" s="529" t="s">
        <v>690</v>
      </c>
      <c r="D44" s="521">
        <v>0.7</v>
      </c>
      <c r="E44" s="522"/>
      <c r="F44" s="209"/>
      <c r="G44" s="354" t="s">
        <v>693</v>
      </c>
      <c r="H44" s="381"/>
      <c r="I44" s="381"/>
      <c r="J44" s="381" t="s">
        <v>720</v>
      </c>
    </row>
    <row r="45" spans="2:10" x14ac:dyDescent="0.2">
      <c r="B45" s="204"/>
      <c r="C45" s="557" t="s">
        <v>798</v>
      </c>
      <c r="D45" s="519">
        <f>IF(D42&lt;&gt;"Fixed amount",D36*D44,D43)</f>
        <v>343000</v>
      </c>
      <c r="E45" s="520">
        <f>IF(D42&lt;&gt;"Fixed amount",E36*D44,E43)</f>
        <v>137200</v>
      </c>
      <c r="F45" s="209"/>
      <c r="G45" s="648" t="s">
        <v>402</v>
      </c>
      <c r="H45" s="648"/>
      <c r="I45" s="648"/>
      <c r="J45" s="381" t="s">
        <v>721</v>
      </c>
    </row>
    <row r="46" spans="2:10" x14ac:dyDescent="0.2">
      <c r="B46" s="204"/>
      <c r="C46" s="401" t="s">
        <v>403</v>
      </c>
      <c r="D46" s="246">
        <f>D36-D45</f>
        <v>147000</v>
      </c>
      <c r="E46" s="247">
        <f>E36-E45</f>
        <v>58800</v>
      </c>
      <c r="F46" s="209"/>
      <c r="G46" s="647" t="s">
        <v>404</v>
      </c>
      <c r="H46" s="646"/>
      <c r="I46" s="646"/>
      <c r="J46" s="381" t="s">
        <v>722</v>
      </c>
    </row>
    <row r="47" spans="2:10" ht="17" thickBot="1" x14ac:dyDescent="0.25">
      <c r="B47" s="218"/>
      <c r="C47" s="391"/>
      <c r="D47" s="250"/>
      <c r="E47" s="260"/>
      <c r="F47" s="221"/>
      <c r="G47" s="647"/>
      <c r="H47" s="646"/>
      <c r="I47" s="646"/>
      <c r="J47" s="381"/>
    </row>
    <row r="48" spans="2:10" ht="17" thickBot="1" x14ac:dyDescent="0.25">
      <c r="B48" s="222"/>
      <c r="C48" s="402"/>
      <c r="D48" s="186"/>
      <c r="E48" s="225"/>
      <c r="G48" s="354"/>
      <c r="H48" s="354"/>
      <c r="I48" s="354"/>
      <c r="J48" s="381"/>
    </row>
    <row r="49" spans="2:10" ht="31.5" customHeight="1" x14ac:dyDescent="0.2">
      <c r="B49" s="261" t="s">
        <v>405</v>
      </c>
      <c r="C49" s="200" t="s">
        <v>775</v>
      </c>
      <c r="D49" s="262"/>
      <c r="E49" s="263"/>
      <c r="F49" s="264"/>
      <c r="G49" s="647" t="s">
        <v>792</v>
      </c>
      <c r="H49" s="646"/>
      <c r="I49" s="646"/>
      <c r="J49" s="646" t="s">
        <v>796</v>
      </c>
    </row>
    <row r="50" spans="2:10" s="197" customFormat="1" ht="15.75" customHeight="1" x14ac:dyDescent="0.2">
      <c r="B50" s="254"/>
      <c r="C50" s="37"/>
      <c r="D50" s="265"/>
      <c r="E50" s="266"/>
      <c r="F50" s="267"/>
      <c r="G50" s="647"/>
      <c r="H50" s="646"/>
      <c r="I50" s="646"/>
      <c r="J50" s="646"/>
    </row>
    <row r="51" spans="2:10" ht="26" x14ac:dyDescent="0.2">
      <c r="B51" s="204"/>
      <c r="C51" s="555" t="s">
        <v>773</v>
      </c>
      <c r="D51" s="17">
        <v>0.01</v>
      </c>
      <c r="E51" s="268"/>
      <c r="F51" s="209"/>
      <c r="G51" s="647" t="s">
        <v>793</v>
      </c>
      <c r="H51" s="646"/>
      <c r="I51" s="646"/>
      <c r="J51" s="381" t="s">
        <v>723</v>
      </c>
    </row>
    <row r="52" spans="2:10" x14ac:dyDescent="0.2">
      <c r="B52" s="204"/>
      <c r="C52" s="556" t="s">
        <v>774</v>
      </c>
      <c r="D52" s="246">
        <f>ROUND(D43*D51,0)</f>
        <v>3000</v>
      </c>
      <c r="E52" s="247">
        <f>ROUND(E43*D51,0)</f>
        <v>1000</v>
      </c>
      <c r="F52" s="209"/>
      <c r="G52" s="647"/>
      <c r="H52" s="646"/>
      <c r="I52" s="646"/>
      <c r="J52" s="381"/>
    </row>
    <row r="53" spans="2:10" ht="17" thickBot="1" x14ac:dyDescent="0.25">
      <c r="B53" s="269"/>
      <c r="C53" s="249"/>
      <c r="D53" s="250"/>
      <c r="E53" s="270"/>
      <c r="F53" s="271"/>
      <c r="G53" s="354"/>
      <c r="H53" s="234"/>
      <c r="I53" s="234"/>
      <c r="J53" s="536"/>
    </row>
    <row r="54" spans="2:10" x14ac:dyDescent="0.2">
      <c r="B54" s="192"/>
      <c r="C54" s="192"/>
      <c r="D54" s="192"/>
      <c r="E54" s="192"/>
      <c r="G54" s="192"/>
      <c r="I54" s="234"/>
      <c r="J54" s="536"/>
    </row>
    <row r="55" spans="2:10" ht="31.5" customHeight="1" x14ac:dyDescent="0.2">
      <c r="B55" s="272" t="s">
        <v>406</v>
      </c>
      <c r="C55" s="273" t="s">
        <v>407</v>
      </c>
      <c r="D55" s="274"/>
      <c r="E55" s="275"/>
      <c r="F55" s="276"/>
      <c r="G55" s="647" t="s">
        <v>785</v>
      </c>
      <c r="H55" s="646"/>
      <c r="I55" s="646"/>
      <c r="J55" s="381" t="s">
        <v>794</v>
      </c>
    </row>
    <row r="56" spans="2:10" s="197" customFormat="1" ht="15.75" customHeight="1" x14ac:dyDescent="0.2">
      <c r="B56" s="204"/>
      <c r="C56" s="37"/>
      <c r="D56" s="277"/>
      <c r="E56" s="278"/>
      <c r="F56" s="241"/>
      <c r="G56" s="647"/>
      <c r="H56" s="646"/>
      <c r="I56" s="646"/>
      <c r="J56" s="381"/>
    </row>
    <row r="57" spans="2:10" s="197" customFormat="1" ht="15.75" customHeight="1" x14ac:dyDescent="0.2">
      <c r="B57" s="204"/>
      <c r="C57" s="384" t="s">
        <v>788</v>
      </c>
      <c r="D57" s="10" t="s">
        <v>408</v>
      </c>
      <c r="E57" s="278"/>
      <c r="F57" s="241"/>
      <c r="G57" s="647" t="s">
        <v>409</v>
      </c>
      <c r="H57" s="646"/>
      <c r="I57" s="646"/>
      <c r="J57" s="646" t="s">
        <v>724</v>
      </c>
    </row>
    <row r="58" spans="2:10" x14ac:dyDescent="0.2">
      <c r="B58" s="204"/>
      <c r="C58" s="400" t="s">
        <v>410</v>
      </c>
      <c r="D58" s="18">
        <v>500000</v>
      </c>
      <c r="F58" s="209"/>
      <c r="G58" s="647"/>
      <c r="H58" s="646"/>
      <c r="I58" s="646"/>
      <c r="J58" s="646"/>
    </row>
    <row r="59" spans="2:10" x14ac:dyDescent="0.2">
      <c r="B59" s="204"/>
      <c r="C59" s="400" t="s">
        <v>411</v>
      </c>
      <c r="D59" s="17">
        <v>0.25</v>
      </c>
      <c r="F59" s="209"/>
      <c r="G59" s="354"/>
      <c r="H59" s="354"/>
      <c r="I59" s="354"/>
      <c r="J59" s="381"/>
    </row>
    <row r="60" spans="2:10" ht="21" customHeight="1" x14ac:dyDescent="0.2">
      <c r="B60" s="204"/>
      <c r="C60" s="549" t="s">
        <v>779</v>
      </c>
      <c r="D60" s="19">
        <v>50000</v>
      </c>
      <c r="F60" s="209"/>
      <c r="G60" s="647" t="s">
        <v>784</v>
      </c>
      <c r="H60" s="646"/>
      <c r="I60" s="646"/>
      <c r="J60" s="357" t="s">
        <v>795</v>
      </c>
    </row>
    <row r="61" spans="2:10" x14ac:dyDescent="0.2">
      <c r="B61" s="212"/>
      <c r="C61" s="210" t="s">
        <v>412</v>
      </c>
      <c r="D61" s="279">
        <f>-IF(D57="Fixed amount",(D58+D60),SUM('3.Gov Dashboard'!D44:D47)*D59)</f>
        <v>-550000</v>
      </c>
      <c r="F61" s="209"/>
      <c r="G61" s="648" t="s">
        <v>398</v>
      </c>
      <c r="H61" s="648"/>
      <c r="I61" s="648"/>
      <c r="J61" s="381" t="s">
        <v>716</v>
      </c>
    </row>
    <row r="62" spans="2:10" ht="17" thickBot="1" x14ac:dyDescent="0.25">
      <c r="B62" s="269"/>
      <c r="C62" s="249"/>
      <c r="D62" s="385"/>
      <c r="E62" s="270"/>
      <c r="F62" s="271"/>
      <c r="G62" s="355"/>
      <c r="H62" s="357"/>
      <c r="I62" s="357"/>
      <c r="J62" s="357"/>
    </row>
    <row r="63" spans="2:10" ht="17" thickBot="1" x14ac:dyDescent="0.25">
      <c r="C63" s="252"/>
      <c r="D63" s="186"/>
      <c r="F63" s="281"/>
      <c r="G63" s="354"/>
      <c r="H63" s="234"/>
      <c r="I63" s="234"/>
      <c r="J63" s="536"/>
    </row>
    <row r="64" spans="2:10" ht="31.5" customHeight="1" x14ac:dyDescent="0.2">
      <c r="B64" s="261" t="s">
        <v>413</v>
      </c>
      <c r="C64" s="200" t="s">
        <v>414</v>
      </c>
      <c r="D64" s="282"/>
      <c r="E64" s="283"/>
      <c r="F64" s="203"/>
      <c r="G64" s="647" t="s">
        <v>415</v>
      </c>
      <c r="H64" s="646"/>
      <c r="I64" s="646"/>
      <c r="J64" s="381" t="s">
        <v>725</v>
      </c>
    </row>
    <row r="65" spans="2:10" s="197" customFormat="1" ht="15.75" customHeight="1" x14ac:dyDescent="0.2">
      <c r="B65" s="254"/>
      <c r="C65" s="37"/>
      <c r="D65" s="277"/>
      <c r="E65" s="278"/>
      <c r="F65" s="207"/>
      <c r="G65" s="647" t="s">
        <v>416</v>
      </c>
      <c r="H65" s="646"/>
      <c r="I65" s="646"/>
      <c r="J65" s="646" t="s">
        <v>726</v>
      </c>
    </row>
    <row r="66" spans="2:10" x14ac:dyDescent="0.2">
      <c r="B66" s="204"/>
      <c r="C66" s="400" t="s">
        <v>417</v>
      </c>
      <c r="D66" s="20">
        <v>9.1639999999999999E-2</v>
      </c>
      <c r="E66" s="284"/>
      <c r="F66" s="209"/>
      <c r="G66" s="647"/>
      <c r="H66" s="646"/>
      <c r="I66" s="646"/>
      <c r="J66" s="646"/>
    </row>
    <row r="67" spans="2:10" x14ac:dyDescent="0.2">
      <c r="B67" s="204"/>
      <c r="C67" s="401" t="s">
        <v>418</v>
      </c>
      <c r="D67" s="21">
        <v>10.91222</v>
      </c>
      <c r="E67" s="284"/>
      <c r="F67" s="209"/>
      <c r="G67" s="647" t="s">
        <v>419</v>
      </c>
      <c r="H67" s="646"/>
      <c r="I67" s="646"/>
      <c r="J67" s="646" t="s">
        <v>727</v>
      </c>
    </row>
    <row r="68" spans="2:10" x14ac:dyDescent="0.2">
      <c r="B68" s="204"/>
      <c r="C68" s="190" t="s">
        <v>420</v>
      </c>
      <c r="D68" s="186"/>
      <c r="E68" s="211"/>
      <c r="F68" s="209"/>
      <c r="G68" s="647"/>
      <c r="H68" s="646"/>
      <c r="I68" s="646"/>
      <c r="J68" s="646"/>
    </row>
    <row r="69" spans="2:10" ht="17" thickBot="1" x14ac:dyDescent="0.25">
      <c r="B69" s="218"/>
      <c r="C69" s="249"/>
      <c r="D69" s="250"/>
      <c r="E69" s="251"/>
      <c r="F69" s="221"/>
      <c r="G69" s="354"/>
      <c r="H69" s="234"/>
      <c r="I69" s="234"/>
      <c r="J69" s="536"/>
    </row>
    <row r="70" spans="2:10" x14ac:dyDescent="0.2">
      <c r="B70" s="285"/>
      <c r="C70" s="252"/>
      <c r="D70" s="186"/>
      <c r="E70" s="211"/>
      <c r="G70" s="354"/>
      <c r="H70" s="234"/>
      <c r="I70" s="234"/>
      <c r="J70" s="536"/>
    </row>
    <row r="71" spans="2:10" ht="31.5" customHeight="1" x14ac:dyDescent="0.2">
      <c r="B71" s="649" t="s">
        <v>421</v>
      </c>
      <c r="C71" s="649"/>
      <c r="D71" s="649"/>
      <c r="E71" s="649"/>
      <c r="F71" s="649"/>
      <c r="G71" s="354"/>
      <c r="H71" s="234"/>
      <c r="I71" s="234"/>
      <c r="J71" s="536"/>
    </row>
    <row r="72" spans="2:10" x14ac:dyDescent="0.2">
      <c r="J72" s="533"/>
    </row>
    <row r="73" spans="2:10" x14ac:dyDescent="0.2">
      <c r="J73" s="533"/>
    </row>
    <row r="74" spans="2:10" x14ac:dyDescent="0.2">
      <c r="J74" s="533"/>
    </row>
    <row r="75" spans="2:10" x14ac:dyDescent="0.2">
      <c r="J75" s="533"/>
    </row>
    <row r="76" spans="2:10" x14ac:dyDescent="0.2">
      <c r="J76" s="533"/>
    </row>
    <row r="77" spans="2:10" x14ac:dyDescent="0.2">
      <c r="J77" s="533"/>
    </row>
    <row r="78" spans="2:10" x14ac:dyDescent="0.2">
      <c r="B78" s="222"/>
      <c r="C78" s="252"/>
      <c r="D78" s="404"/>
      <c r="E78" s="211"/>
      <c r="J78" s="533"/>
    </row>
    <row r="79" spans="2:10" x14ac:dyDescent="0.2">
      <c r="B79" s="222"/>
      <c r="C79" s="252"/>
      <c r="D79" s="404"/>
      <c r="E79" s="211"/>
      <c r="J79" s="533"/>
    </row>
    <row r="80" spans="2:10" x14ac:dyDescent="0.2">
      <c r="B80" s="222"/>
      <c r="C80" s="252"/>
      <c r="D80" s="404"/>
      <c r="E80" s="211"/>
      <c r="J80" s="533"/>
    </row>
    <row r="81" spans="2:10" x14ac:dyDescent="0.2">
      <c r="B81" s="222"/>
      <c r="C81" s="402"/>
      <c r="D81" s="404"/>
      <c r="E81" s="211"/>
      <c r="J81" s="533"/>
    </row>
    <row r="82" spans="2:10" x14ac:dyDescent="0.2">
      <c r="B82" s="222"/>
      <c r="C82" s="402"/>
      <c r="D82" s="404"/>
      <c r="E82" s="211"/>
      <c r="J82" s="533"/>
    </row>
    <row r="83" spans="2:10" x14ac:dyDescent="0.2">
      <c r="B83" s="222"/>
      <c r="C83" s="402"/>
      <c r="D83" s="404"/>
      <c r="E83" s="211"/>
      <c r="J83" s="533"/>
    </row>
    <row r="84" spans="2:10" x14ac:dyDescent="0.2">
      <c r="B84" s="222"/>
      <c r="C84" s="402"/>
      <c r="D84" s="404"/>
      <c r="E84" s="225"/>
      <c r="J84" s="533"/>
    </row>
    <row r="85" spans="2:10" x14ac:dyDescent="0.2">
      <c r="B85" s="222"/>
      <c r="C85" s="286"/>
      <c r="D85" s="81"/>
      <c r="E85" s="225"/>
      <c r="J85" s="533"/>
    </row>
    <row r="86" spans="2:10" x14ac:dyDescent="0.2">
      <c r="B86" s="222"/>
      <c r="C86" s="402"/>
      <c r="D86" s="404"/>
      <c r="E86" s="225"/>
      <c r="J86" s="533"/>
    </row>
    <row r="87" spans="2:10" x14ac:dyDescent="0.2">
      <c r="B87" s="222"/>
      <c r="C87" s="402"/>
      <c r="D87" s="404"/>
      <c r="E87" s="225"/>
      <c r="J87" s="533"/>
    </row>
    <row r="88" spans="2:10" x14ac:dyDescent="0.2">
      <c r="B88" s="222"/>
      <c r="C88" s="286"/>
      <c r="D88" s="404"/>
      <c r="E88" s="225"/>
      <c r="J88" s="533"/>
    </row>
    <row r="89" spans="2:10" x14ac:dyDescent="0.2">
      <c r="B89" s="222"/>
      <c r="C89" s="252"/>
      <c r="D89" s="404"/>
      <c r="E89" s="225"/>
      <c r="J89" s="533"/>
    </row>
    <row r="90" spans="2:10" x14ac:dyDescent="0.2">
      <c r="B90" s="222"/>
      <c r="C90" s="286"/>
      <c r="J90" s="533"/>
    </row>
    <row r="91" spans="2:10" x14ac:dyDescent="0.2">
      <c r="B91" s="222"/>
      <c r="C91" s="402"/>
      <c r="J91" s="533"/>
    </row>
    <row r="92" spans="2:10" x14ac:dyDescent="0.2">
      <c r="B92" s="222"/>
      <c r="C92" s="402"/>
      <c r="D92" s="404"/>
      <c r="E92" s="225"/>
      <c r="J92" s="533"/>
    </row>
    <row r="93" spans="2:10" x14ac:dyDescent="0.2">
      <c r="B93" s="222"/>
      <c r="C93" s="402"/>
      <c r="D93" s="404"/>
      <c r="E93" s="225"/>
      <c r="J93" s="533"/>
    </row>
    <row r="94" spans="2:10" x14ac:dyDescent="0.2">
      <c r="B94" s="222"/>
      <c r="C94" s="252"/>
      <c r="D94" s="404"/>
      <c r="E94" s="225"/>
      <c r="J94" s="533"/>
    </row>
    <row r="95" spans="2:10" x14ac:dyDescent="0.2">
      <c r="J95" s="533"/>
    </row>
    <row r="96" spans="2:10" x14ac:dyDescent="0.2">
      <c r="J96" s="533"/>
    </row>
    <row r="97" spans="10:10" x14ac:dyDescent="0.2">
      <c r="J97" s="533"/>
    </row>
    <row r="98" spans="10:10" x14ac:dyDescent="0.2">
      <c r="J98" s="533"/>
    </row>
    <row r="99" spans="10:10" x14ac:dyDescent="0.2">
      <c r="J99" s="533"/>
    </row>
    <row r="100" spans="10:10" x14ac:dyDescent="0.2">
      <c r="J100" s="533"/>
    </row>
    <row r="101" spans="10:10" x14ac:dyDescent="0.2">
      <c r="J101" s="533"/>
    </row>
    <row r="102" spans="10:10" x14ac:dyDescent="0.2">
      <c r="J102" s="533"/>
    </row>
    <row r="103" spans="10:10" x14ac:dyDescent="0.2">
      <c r="J103" s="533"/>
    </row>
    <row r="104" spans="10:10" x14ac:dyDescent="0.2">
      <c r="J104" s="533"/>
    </row>
    <row r="105" spans="10:10" x14ac:dyDescent="0.2">
      <c r="J105" s="533"/>
    </row>
    <row r="106" spans="10:10" x14ac:dyDescent="0.2">
      <c r="J106" s="533"/>
    </row>
    <row r="107" spans="10:10" x14ac:dyDescent="0.2">
      <c r="J107" s="533"/>
    </row>
    <row r="108" spans="10:10" x14ac:dyDescent="0.2">
      <c r="J108" s="533"/>
    </row>
    <row r="109" spans="10:10" x14ac:dyDescent="0.2">
      <c r="J109" s="533"/>
    </row>
    <row r="110" spans="10:10" x14ac:dyDescent="0.2">
      <c r="J110" s="533"/>
    </row>
    <row r="111" spans="10:10" x14ac:dyDescent="0.2">
      <c r="J111" s="533"/>
    </row>
    <row r="112" spans="10:10" x14ac:dyDescent="0.2">
      <c r="J112" s="533"/>
    </row>
    <row r="113" spans="10:10" x14ac:dyDescent="0.2">
      <c r="J113" s="533"/>
    </row>
    <row r="114" spans="10:10" x14ac:dyDescent="0.2">
      <c r="J114" s="533"/>
    </row>
    <row r="115" spans="10:10" x14ac:dyDescent="0.2">
      <c r="J115" s="533"/>
    </row>
    <row r="116" spans="10:10" x14ac:dyDescent="0.2">
      <c r="J116" s="533"/>
    </row>
    <row r="117" spans="10:10" x14ac:dyDescent="0.2">
      <c r="J117" s="533"/>
    </row>
    <row r="118" spans="10:10" x14ac:dyDescent="0.2">
      <c r="J118" s="533"/>
    </row>
    <row r="119" spans="10:10" x14ac:dyDescent="0.2">
      <c r="J119" s="533"/>
    </row>
    <row r="120" spans="10:10" x14ac:dyDescent="0.2">
      <c r="J120" s="533"/>
    </row>
    <row r="121" spans="10:10" x14ac:dyDescent="0.2">
      <c r="J121" s="533"/>
    </row>
    <row r="122" spans="10:10" x14ac:dyDescent="0.2">
      <c r="J122" s="533"/>
    </row>
    <row r="123" spans="10:10" x14ac:dyDescent="0.2">
      <c r="J123" s="533"/>
    </row>
    <row r="124" spans="10:10" x14ac:dyDescent="0.2">
      <c r="J124" s="533"/>
    </row>
    <row r="125" spans="10:10" x14ac:dyDescent="0.2">
      <c r="J125" s="533"/>
    </row>
    <row r="126" spans="10:10" x14ac:dyDescent="0.2">
      <c r="J126" s="533"/>
    </row>
    <row r="127" spans="10:10" x14ac:dyDescent="0.2">
      <c r="J127" s="533"/>
    </row>
    <row r="128" spans="10:10" x14ac:dyDescent="0.2">
      <c r="J128" s="533"/>
    </row>
    <row r="129" spans="10:10" x14ac:dyDescent="0.2">
      <c r="J129" s="533"/>
    </row>
    <row r="130" spans="10:10" x14ac:dyDescent="0.2">
      <c r="J130" s="533"/>
    </row>
    <row r="131" spans="10:10" x14ac:dyDescent="0.2">
      <c r="J131" s="533"/>
    </row>
    <row r="132" spans="10:10" x14ac:dyDescent="0.2">
      <c r="J132" s="533"/>
    </row>
    <row r="133" spans="10:10" x14ac:dyDescent="0.2">
      <c r="J133" s="533"/>
    </row>
    <row r="134" spans="10:10" x14ac:dyDescent="0.2">
      <c r="J134" s="533"/>
    </row>
    <row r="135" spans="10:10" x14ac:dyDescent="0.2">
      <c r="J135" s="533"/>
    </row>
    <row r="136" spans="10:10" x14ac:dyDescent="0.2">
      <c r="J136" s="533"/>
    </row>
    <row r="137" spans="10:10" x14ac:dyDescent="0.2">
      <c r="J137" s="533"/>
    </row>
    <row r="138" spans="10:10" x14ac:dyDescent="0.2">
      <c r="J138" s="533"/>
    </row>
    <row r="139" spans="10:10" x14ac:dyDescent="0.2">
      <c r="J139" s="533"/>
    </row>
    <row r="140" spans="10:10" x14ac:dyDescent="0.2">
      <c r="J140" s="533"/>
    </row>
    <row r="141" spans="10:10" x14ac:dyDescent="0.2">
      <c r="J141" s="533"/>
    </row>
    <row r="142" spans="10:10" x14ac:dyDescent="0.2">
      <c r="J142" s="533"/>
    </row>
    <row r="143" spans="10:10" x14ac:dyDescent="0.2">
      <c r="J143" s="533"/>
    </row>
    <row r="144" spans="10:10" x14ac:dyDescent="0.2">
      <c r="J144" s="533"/>
    </row>
    <row r="145" spans="10:10" x14ac:dyDescent="0.2">
      <c r="J145" s="533"/>
    </row>
  </sheetData>
  <sheetProtection algorithmName="SHA-512" hashValue="oyqOxCl27BwL3+BvXc+CDRoqWl+wUWqacjjBwjM/4rUbbHS0WyZAxNxZ5xvb0I7YUiqkC06Y8Hn4sXyGAaX8Sw==" saltValue="6iM4kef4oPinSOAjPx6iAw==" spinCount="100000" sheet="1" formatColumns="0" formatRows="0"/>
  <protectedRanges>
    <protectedRange algorithmName="SHA-512" hashValue="Our/vdf9iDsuRB0Ck+WdYMZdCAXscCfKCm5GWlAisS7N3rKb2WgIKeYl6jwADDdvyX1E0dncEESLGjgJpyefbg==" saltValue="/J0jmUJxc0Wwbs2JVYE2hw==" spinCount="100000" sqref="D14:D15 D24:D26 D33:E33 D35:E36 D45:E46 D52:E52 D61" name="Inputs"/>
  </protectedRanges>
  <dataConsolidate/>
  <mergeCells count="43">
    <mergeCell ref="J19:J21"/>
    <mergeCell ref="J4:L4"/>
    <mergeCell ref="G22:I23"/>
    <mergeCell ref="G24:I24"/>
    <mergeCell ref="G17:I17"/>
    <mergeCell ref="J22:J23"/>
    <mergeCell ref="G4:I4"/>
    <mergeCell ref="G10:I10"/>
    <mergeCell ref="G8:I9"/>
    <mergeCell ref="G6:I7"/>
    <mergeCell ref="G19:I21"/>
    <mergeCell ref="J11:J14"/>
    <mergeCell ref="G16:I16"/>
    <mergeCell ref="B71:F71"/>
    <mergeCell ref="B2:I2"/>
    <mergeCell ref="G64:I64"/>
    <mergeCell ref="G41:I41"/>
    <mergeCell ref="G46:I47"/>
    <mergeCell ref="G51:I52"/>
    <mergeCell ref="G49:I50"/>
    <mergeCell ref="G36:I36"/>
    <mergeCell ref="G45:I45"/>
    <mergeCell ref="B4:D4"/>
    <mergeCell ref="G11:I14"/>
    <mergeCell ref="G29:I29"/>
    <mergeCell ref="G26:K26"/>
    <mergeCell ref="G15:I15"/>
    <mergeCell ref="J6:J7"/>
    <mergeCell ref="G25:I25"/>
    <mergeCell ref="J67:J68"/>
    <mergeCell ref="J57:J58"/>
    <mergeCell ref="J65:J66"/>
    <mergeCell ref="G30:I31"/>
    <mergeCell ref="G55:I56"/>
    <mergeCell ref="G61:I61"/>
    <mergeCell ref="G39:I39"/>
    <mergeCell ref="G57:I58"/>
    <mergeCell ref="J49:J50"/>
    <mergeCell ref="G67:I68"/>
    <mergeCell ref="G65:I66"/>
    <mergeCell ref="G34:I35"/>
    <mergeCell ref="G60:I60"/>
    <mergeCell ref="G32:I33"/>
  </mergeCells>
  <conditionalFormatting sqref="D23">
    <cfRule type="expression" dxfId="88" priority="5">
      <formula>#REF!="No"</formula>
    </cfRule>
  </conditionalFormatting>
  <conditionalFormatting sqref="D58">
    <cfRule type="expression" dxfId="87" priority="4">
      <formula>$D$57="% of revenue"</formula>
    </cfRule>
  </conditionalFormatting>
  <conditionalFormatting sqref="D59">
    <cfRule type="expression" dxfId="86" priority="3">
      <formula>$D$57="Fixed amount"</formula>
    </cfRule>
  </conditionalFormatting>
  <conditionalFormatting sqref="D43:E43">
    <cfRule type="expression" dxfId="85" priority="2">
      <formula>$D$42="Percentage"</formula>
    </cfRule>
  </conditionalFormatting>
  <conditionalFormatting sqref="D44">
    <cfRule type="expression" dxfId="84" priority="1">
      <formula>$D$42="Fixed amount"</formula>
    </cfRule>
  </conditionalFormatting>
  <dataValidations count="15">
    <dataValidation errorStyle="information" allowBlank="1" showInputMessage="1" promptTitle="Exception" prompt="This cell is only applicable for Malaysia" sqref="D9" xr:uid="{9B20A925-1DC1-0C4C-AD90-25076DA6F181}"/>
    <dataValidation allowBlank="1" showInputMessage="1" showErrorMessage="1" promptTitle="Funds allocated to communities" prompt="Insert the total amount of funds allocated to communities included in your project (e.g., USD -50,000 for a forestry project)" sqref="D58" xr:uid="{EB1D603B-6A32-714A-BD99-EC0EEBE830E2}"/>
    <dataValidation allowBlank="1" showInputMessage="1" showErrorMessage="1" promptTitle="Cost of managing community funds" prompt="Insert the total cost of managing the community funds for your government for the project duration (e.g., USD 15,000)" sqref="D60" xr:uid="{9B1E39A3-3BC5-7148-B535-409E06237069}"/>
    <dataValidation allowBlank="1" showInputMessage="1" showErrorMessage="1" promptTitle="Total credits" prompt="Insert all credits generated for the project duration." sqref="D10" xr:uid="{94A423E9-6553-FC41-A8B3-A5EA92CEDE20}"/>
    <dataValidation allowBlank="1" showInputMessage="1" showErrorMessage="1" promptTitle="Project start" prompt="Insert project start" sqref="D13" xr:uid="{907096A8-1E1A-1B40-A053-A109E1B50182}"/>
    <dataValidation allowBlank="1" showInputMessage="1" showErrorMessage="1" promptTitle="Non-authorized credit price" prompt="Insert the price of non-authorized credits." sqref="D16" xr:uid="{31B561E8-B7E7-E146-9501-F6777B7C67B9}"/>
    <dataValidation allowBlank="1" showInputMessage="1" showErrorMessage="1" promptTitle="Authorized credit price" prompt="Insert the price of authorized credits." sqref="D17" xr:uid="{34120BF5-34DF-684B-802A-697BD7F97D84}"/>
    <dataValidation allowBlank="1" showInputMessage="1" showErrorMessage="1" promptTitle="NDC target year" prompt="Insert the target year of your current NDC" sqref="D22" xr:uid="{FC6E97C2-6380-1E4A-977E-12607CB18742}"/>
    <dataValidation allowBlank="1" showInputMessage="1" showErrorMessage="1" promptTitle="Withheld authorized credits" prompt="Insert any withheld amount or percentage on authorized credits (if applicable). " sqref="D51" xr:uid="{0021928E-B462-3244-9428-004216202DDF}"/>
    <dataValidation allowBlank="1" showErrorMessage="1" promptTitle="Funds allocated to communities" prompt="Insert the total amount of funds allocated to communities included in your project (e.g., USD 50,000 for a forestry project)" sqref="D59" xr:uid="{C24737AB-D08E-EA4C-A0CD-79D9A45103E2}"/>
    <dataValidation type="list" allowBlank="1" showInputMessage="1" showErrorMessage="1" sqref="D57" xr:uid="{772707A2-947C-4E34-A1A6-FA9659C365A7}">
      <formula1>"Fixed amount, % of revenue"</formula1>
    </dataValidation>
    <dataValidation type="custom" allowBlank="1" showInputMessage="1" showErrorMessage="1" errorTitle="Error" error="% of authorized credits can't be greater than 100%" promptTitle="Percentage of authorized credits" prompt="Include the total % of credits that you aim to authorize." sqref="D44" xr:uid="{4E904D88-648C-4DE0-9F10-C7623BC403E7}">
      <formula1>D44&lt;=100%</formula1>
    </dataValidation>
    <dataValidation type="list" allowBlank="1" showInputMessage="1" showErrorMessage="1" sqref="D42" xr:uid="{4791D538-7B48-496B-9469-475ECAD4A243}">
      <formula1>"Fixed amount, Percentage"</formula1>
    </dataValidation>
    <dataValidation type="whole" operator="lessThanOrEqual" allowBlank="1" showInputMessage="1" showErrorMessage="1" errorTitle="Amount of credits exceeded" error="The amount of authorized credits must be less than or equal to the remaining tradeable credits after SOP+OMGE." sqref="D43:E43" xr:uid="{9321E97A-1CE1-492F-9546-91845D781277}">
      <formula1>D36</formula1>
    </dataValidation>
    <dataValidation type="custom" allowBlank="1" showInputMessage="1" showErrorMessage="1" errorTitle="Error" error="The approved crediting years must be equal to or less than the target year of the current NDC (D23) minus the project start (D13)." sqref="D23" xr:uid="{467A7C17-FF11-41E2-8339-1FCBD432B7D7}">
      <formula1>D22-D13&gt;=D23</formula1>
    </dataValidation>
  </dataValidations>
  <hyperlinks>
    <hyperlink ref="C68" r:id="rId1" xr:uid="{42123F60-ECCD-9C49-A3D4-6B43EBB49E0B}"/>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Title="Check project type" prompt="Please ensure that the project type corresponds to the activity category and update accordingly" xr:uid="{037568FA-324E-4E43-BFBF-48907BEB4E72}">
          <x14:formula1>
            <xm:f>INDIRECT('Support Table'!$P$3)</xm:f>
          </x14:formula1>
          <xm:sqref>D11</xm:sqref>
        </x14:dataValidation>
        <x14:dataValidation type="list" errorStyle="information" allowBlank="1" showInputMessage="1" showErrorMessage="1" errorTitle="Select User input option" error="Please select &quot;User input&quot; in tab &quot;5.F&amp;L_Calculations&quot; when testing &quot;Test country&quot;." promptTitle="Country selection" prompt="Select TEST COUNTRY to test dummy projects, including dummy project information. If your country has preset data included, please select it from the dropdown. " xr:uid="{1CDABCAB-EF8B-0142-B3A9-BD72C735E854}">
          <x14:formula1>
            <xm:f>_xlfn.ANCHORARRAY('Support Table'!$A$2)</xm:f>
          </x14:formula1>
          <xm:sqref>D7</xm:sqref>
        </x14:dataValidation>
        <x14:dataValidation type="list" allowBlank="1" showInputMessage="1" showErrorMessage="1" promptTitle="Fill in activity category" prompt="Select your projct type or dummy project type. _x000a__x000a_After updating project type, please fill in activity category. If you would like to test other project types, please select 'Test Country' from the dropdown in the country selection." xr:uid="{49AC3240-9677-3444-8604-A3EE4A0A4D14}">
          <x14:formula1>
            <xm:f>INDIRECT('Support Table'!$D$2)</xm:f>
          </x14:formula1>
          <xm:sqref>D8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6AAE2-C28C-1E49-87CF-664548A80AA7}">
  <sheetPr codeName="Sheet6">
    <tabColor theme="9"/>
  </sheetPr>
  <dimension ref="A1:Y109"/>
  <sheetViews>
    <sheetView showGridLines="0" zoomScale="125" zoomScaleNormal="110" workbookViewId="0">
      <selection activeCell="C10" sqref="C10"/>
    </sheetView>
  </sheetViews>
  <sheetFormatPr baseColWidth="10" defaultColWidth="8.85546875" defaultRowHeight="16" x14ac:dyDescent="0.15"/>
  <cols>
    <col min="1" max="1" width="3.28515625" style="42" customWidth="1"/>
    <col min="2" max="2" width="2.140625" style="42" customWidth="1"/>
    <col min="3" max="3" width="41.85546875" style="51" customWidth="1"/>
    <col min="4" max="4" width="11.5703125" style="35" hidden="1" customWidth="1"/>
    <col min="5" max="5" width="11.5703125" style="24" customWidth="1"/>
    <col min="6" max="6" width="11.5703125" style="52" customWidth="1"/>
    <col min="7" max="7" width="10" style="53" hidden="1" customWidth="1"/>
    <col min="8" max="8" width="7.7109375" style="53" customWidth="1"/>
    <col min="9" max="9" width="11.5703125" style="53" customWidth="1"/>
    <col min="10" max="10" width="13.140625" style="53" hidden="1" customWidth="1"/>
    <col min="11" max="11" width="16.28515625" style="77" hidden="1" customWidth="1"/>
    <col min="12" max="12" width="9.5703125" style="53" customWidth="1"/>
    <col min="13" max="13" width="12.28515625" style="53" hidden="1" customWidth="1"/>
    <col min="14" max="14" width="12.7109375" style="24" customWidth="1"/>
    <col min="15" max="15" width="15.28515625" style="24" customWidth="1"/>
    <col min="16" max="16" width="16.7109375" style="54" hidden="1" customWidth="1"/>
    <col min="17" max="17" width="13.85546875" style="30" customWidth="1"/>
    <col min="18" max="18" width="36.7109375" style="35" customWidth="1"/>
    <col min="19" max="19" width="15.140625" style="42" hidden="1" customWidth="1"/>
    <col min="20" max="20" width="14.85546875" style="42" hidden="1" customWidth="1"/>
    <col min="21" max="21" width="15.85546875" style="42" hidden="1" customWidth="1"/>
    <col min="22" max="22" width="14.85546875" style="42" hidden="1" customWidth="1"/>
    <col min="23" max="23" width="1.5703125" style="42" customWidth="1"/>
    <col min="24" max="25" width="71.140625" style="42" customWidth="1"/>
    <col min="26" max="16384" width="8.85546875" style="42"/>
  </cols>
  <sheetData>
    <row r="1" spans="2:25" x14ac:dyDescent="0.15">
      <c r="B1" s="405"/>
      <c r="C1" s="404"/>
      <c r="D1" s="402"/>
      <c r="E1" s="390"/>
      <c r="F1" s="388"/>
      <c r="G1" s="389"/>
      <c r="H1" s="389"/>
      <c r="I1" s="389"/>
      <c r="J1" s="389"/>
      <c r="K1" s="389"/>
      <c r="L1" s="389"/>
      <c r="M1" s="389"/>
      <c r="N1" s="390"/>
      <c r="O1" s="390"/>
      <c r="Q1" s="406"/>
      <c r="R1" s="402"/>
      <c r="S1" s="405"/>
      <c r="T1" s="405"/>
      <c r="U1" s="405"/>
      <c r="V1" s="405"/>
      <c r="W1" s="405"/>
      <c r="X1" s="405"/>
      <c r="Y1" s="405"/>
    </row>
    <row r="2" spans="2:25" ht="75" customHeight="1" x14ac:dyDescent="0.15">
      <c r="B2" s="46" t="s">
        <v>422</v>
      </c>
      <c r="C2" s="47"/>
      <c r="D2" s="48"/>
      <c r="E2" s="25"/>
      <c r="F2" s="49"/>
      <c r="G2" s="50"/>
      <c r="H2" s="50"/>
      <c r="I2" s="50"/>
      <c r="J2" s="50"/>
      <c r="K2" s="50"/>
      <c r="L2" s="50"/>
      <c r="M2" s="50"/>
      <c r="N2" s="25"/>
      <c r="O2" s="25"/>
      <c r="P2" s="50"/>
      <c r="Q2" s="31"/>
      <c r="R2" s="36"/>
      <c r="S2" s="405"/>
      <c r="T2" s="405"/>
      <c r="U2" s="405"/>
      <c r="V2" s="405"/>
      <c r="W2" s="405"/>
      <c r="X2" s="358"/>
      <c r="Y2" s="358"/>
    </row>
    <row r="3" spans="2:25" s="43" customFormat="1" ht="15.75" customHeight="1" x14ac:dyDescent="0.15">
      <c r="B3" s="364" t="s">
        <v>423</v>
      </c>
      <c r="C3" s="407"/>
      <c r="D3" s="351"/>
      <c r="E3" s="351"/>
      <c r="F3" s="351"/>
      <c r="G3" s="351"/>
      <c r="H3" s="351"/>
      <c r="I3" s="351"/>
      <c r="J3" s="351"/>
      <c r="K3" s="351"/>
      <c r="L3" s="351"/>
      <c r="M3" s="351"/>
      <c r="N3" s="351"/>
      <c r="O3" s="351"/>
      <c r="P3" s="351"/>
      <c r="Q3" s="351"/>
      <c r="R3" s="407"/>
      <c r="S3" s="407"/>
      <c r="T3" s="407"/>
      <c r="U3" s="407"/>
      <c r="V3" s="407"/>
      <c r="W3" s="407"/>
      <c r="X3" s="359"/>
      <c r="Y3" s="359"/>
    </row>
    <row r="4" spans="2:25" ht="14" x14ac:dyDescent="0.15">
      <c r="B4" s="365" t="s">
        <v>424</v>
      </c>
      <c r="C4" s="404"/>
      <c r="D4" s="351"/>
      <c r="E4" s="351"/>
      <c r="F4" s="351"/>
      <c r="G4" s="351"/>
      <c r="H4" s="351"/>
      <c r="I4" s="351"/>
      <c r="J4" s="351"/>
      <c r="K4" s="351"/>
      <c r="L4" s="351"/>
      <c r="M4" s="351"/>
      <c r="N4" s="351"/>
      <c r="O4" s="351"/>
      <c r="P4" s="351"/>
      <c r="Q4" s="351"/>
      <c r="R4" s="402"/>
      <c r="S4" s="405"/>
      <c r="T4" s="405"/>
      <c r="U4" s="405"/>
      <c r="V4" s="405"/>
      <c r="W4" s="405"/>
      <c r="X4" s="358"/>
      <c r="Y4" s="358"/>
    </row>
    <row r="5" spans="2:25" x14ac:dyDescent="0.15">
      <c r="B5" s="366" t="s">
        <v>425</v>
      </c>
      <c r="C5" s="404"/>
      <c r="D5" s="390"/>
      <c r="E5" s="388"/>
      <c r="F5" s="389"/>
      <c r="G5" s="389"/>
      <c r="H5" s="56"/>
      <c r="I5" s="56"/>
      <c r="J5" s="56"/>
      <c r="K5" s="389"/>
      <c r="L5" s="389"/>
      <c r="M5" s="390"/>
      <c r="N5" s="390"/>
      <c r="O5" s="54"/>
      <c r="P5" s="406"/>
      <c r="Q5" s="402"/>
      <c r="R5" s="402"/>
      <c r="S5" s="405"/>
      <c r="T5" s="405"/>
      <c r="U5" s="405"/>
      <c r="V5" s="405"/>
      <c r="W5" s="405"/>
      <c r="X5" s="358"/>
      <c r="Y5" s="358"/>
    </row>
    <row r="6" spans="2:25" ht="17" thickBot="1" x14ac:dyDescent="0.2">
      <c r="B6" s="405"/>
      <c r="C6" s="366"/>
      <c r="D6" s="55"/>
      <c r="E6" s="388"/>
      <c r="F6" s="389"/>
      <c r="G6" s="389"/>
      <c r="H6" s="56"/>
      <c r="I6" s="56"/>
      <c r="J6" s="56"/>
      <c r="K6" s="389"/>
      <c r="L6" s="389"/>
      <c r="M6" s="390"/>
      <c r="N6" s="390"/>
      <c r="O6" s="54"/>
      <c r="P6" s="406"/>
      <c r="Q6" s="402"/>
      <c r="R6" s="402"/>
      <c r="S6" s="405"/>
      <c r="T6" s="405"/>
      <c r="U6" s="405"/>
      <c r="V6" s="405"/>
      <c r="W6" s="405"/>
      <c r="X6" s="358"/>
      <c r="Y6" s="358"/>
    </row>
    <row r="7" spans="2:25" ht="40" customHeight="1" thickBot="1" x14ac:dyDescent="0.2">
      <c r="B7" s="57"/>
      <c r="C7" s="58" t="s">
        <v>426</v>
      </c>
      <c r="D7" s="59"/>
      <c r="E7" s="60"/>
      <c r="F7" s="61"/>
      <c r="G7" s="62"/>
      <c r="H7" s="62"/>
      <c r="I7" s="62"/>
      <c r="J7" s="62"/>
      <c r="K7" s="62"/>
      <c r="L7" s="62"/>
      <c r="M7" s="62"/>
      <c r="N7" s="26"/>
      <c r="O7" s="26"/>
      <c r="P7" s="62"/>
      <c r="Q7" s="26"/>
      <c r="R7" s="38"/>
      <c r="S7" s="63"/>
      <c r="T7" s="63"/>
      <c r="U7" s="63"/>
      <c r="V7" s="63"/>
      <c r="W7" s="405"/>
      <c r="X7" s="358"/>
      <c r="Y7" s="358"/>
    </row>
    <row r="8" spans="2:25" ht="17" thickBot="1" x14ac:dyDescent="0.2">
      <c r="B8" s="407"/>
      <c r="C8" s="67"/>
      <c r="D8" s="402"/>
      <c r="E8" s="390"/>
      <c r="F8" s="388"/>
      <c r="G8" s="389"/>
      <c r="H8" s="389"/>
      <c r="I8" s="389"/>
      <c r="J8" s="389"/>
      <c r="K8" s="389"/>
      <c r="L8" s="389"/>
      <c r="M8" s="389"/>
      <c r="N8" s="390"/>
      <c r="O8" s="390"/>
      <c r="Q8" s="406"/>
      <c r="R8" s="402"/>
      <c r="S8" s="405"/>
      <c r="T8" s="405"/>
      <c r="U8" s="405"/>
      <c r="V8" s="405"/>
      <c r="W8" s="405"/>
      <c r="X8" s="358"/>
      <c r="Y8" s="358"/>
    </row>
    <row r="9" spans="2:25" ht="20" thickBot="1" x14ac:dyDescent="0.35">
      <c r="B9" s="408"/>
      <c r="C9" s="64" t="s">
        <v>427</v>
      </c>
      <c r="D9" s="65"/>
      <c r="E9" s="65"/>
      <c r="F9" s="409"/>
      <c r="G9" s="410"/>
      <c r="H9" s="410"/>
      <c r="I9" s="410"/>
      <c r="J9" s="410"/>
      <c r="K9" s="410"/>
      <c r="L9" s="410"/>
      <c r="M9" s="410"/>
      <c r="N9" s="411"/>
      <c r="O9" s="411"/>
      <c r="P9" s="66" t="s">
        <v>428</v>
      </c>
      <c r="Q9" s="32"/>
      <c r="R9" s="412"/>
      <c r="S9" s="405"/>
      <c r="T9" s="405"/>
      <c r="U9" s="405"/>
      <c r="V9" s="405"/>
      <c r="W9" s="405"/>
      <c r="X9" s="362" t="s">
        <v>429</v>
      </c>
      <c r="Y9" s="362" t="s">
        <v>728</v>
      </c>
    </row>
    <row r="10" spans="2:25" ht="32" thickBot="1" x14ac:dyDescent="0.2">
      <c r="B10" s="413"/>
      <c r="C10" s="350" t="s">
        <v>430</v>
      </c>
      <c r="D10" s="397" t="str">
        <f>IF(selCountry="Test country", "Test country has been selected in the inputs sheet. Please ensure that the gov. fee source in C10 is 'User input'. ","")</f>
        <v/>
      </c>
      <c r="E10" s="387"/>
      <c r="F10" s="388"/>
      <c r="G10" s="389"/>
      <c r="H10" s="389"/>
      <c r="I10" s="389"/>
      <c r="J10" s="389"/>
      <c r="K10" s="389"/>
      <c r="L10" s="389"/>
      <c r="M10" s="389"/>
      <c r="N10" s="390"/>
      <c r="O10" s="390"/>
      <c r="P10" s="386"/>
      <c r="Q10" s="33"/>
      <c r="R10" s="414"/>
      <c r="S10" s="405"/>
      <c r="T10" s="405"/>
      <c r="U10" s="405"/>
      <c r="V10" s="405"/>
      <c r="W10" s="405"/>
      <c r="X10" s="361"/>
      <c r="Y10" s="361"/>
    </row>
    <row r="11" spans="2:25" ht="15" thickBot="1" x14ac:dyDescent="0.2">
      <c r="B11" s="415"/>
      <c r="C11" s="416"/>
      <c r="D11" s="398" t="str">
        <f>IF(selCountry="Test country", "To support you in defining  your country's fee structure, please read the descriptions provided for each section and consider which types of fees would be most suitable.","")</f>
        <v/>
      </c>
      <c r="E11" s="391"/>
      <c r="F11" s="392"/>
      <c r="G11" s="393"/>
      <c r="H11" s="393"/>
      <c r="I11" s="393"/>
      <c r="J11" s="393"/>
      <c r="K11" s="393"/>
      <c r="L11" s="393"/>
      <c r="M11" s="393"/>
      <c r="N11" s="394"/>
      <c r="O11" s="394"/>
      <c r="P11" s="395"/>
      <c r="Q11" s="396"/>
      <c r="R11" s="417"/>
      <c r="S11" s="418"/>
      <c r="T11" s="418" t="s">
        <v>431</v>
      </c>
      <c r="U11" s="418"/>
      <c r="V11" s="418"/>
      <c r="W11" s="405"/>
      <c r="X11" s="363"/>
      <c r="Y11" s="363"/>
    </row>
    <row r="12" spans="2:25" ht="17" thickBot="1" x14ac:dyDescent="0.2">
      <c r="B12" s="407"/>
      <c r="C12" s="552"/>
      <c r="D12" s="420"/>
      <c r="E12" s="289"/>
      <c r="F12" s="421"/>
      <c r="G12" s="422"/>
      <c r="H12" s="422"/>
      <c r="I12" s="422"/>
      <c r="J12" s="422"/>
      <c r="K12" s="422"/>
      <c r="L12" s="422"/>
      <c r="M12" s="422"/>
      <c r="N12" s="423"/>
      <c r="O12" s="423"/>
      <c r="P12" s="290"/>
      <c r="Q12" s="424"/>
      <c r="R12" s="420"/>
      <c r="S12" s="418"/>
      <c r="T12" s="418"/>
      <c r="U12" s="418"/>
      <c r="V12" s="418"/>
      <c r="W12" s="405"/>
      <c r="X12" s="363"/>
      <c r="Y12" s="363"/>
    </row>
    <row r="13" spans="2:25" ht="72" customHeight="1" thickBot="1" x14ac:dyDescent="0.2">
      <c r="B13" s="72"/>
      <c r="C13" s="73" t="s">
        <v>432</v>
      </c>
      <c r="D13" s="656" t="str">
        <f>IF(selCountry="Test country",_xlfn._LONGTEXT("Administrative fees are charged by public authorities to recover costs incurred in processing applications, issuing approvals, or administering and regulating activities. For example, Kenya has administrative fees at different stages of project registrati","on, including an application fee, a Project Design Document (PDD) submission fee, and a fee upon PDD approval. Meanwhile, Ghana charges fees to cover expenses for other administrative tasks such as preparing the Article 6.4 letter of approval or letter of"," entity authorization, or issuing an identification number for the mitigation activity. While most administrative fees are applied at a fixed price, other fee structures are also possible. For example, Zimbabwe has a registration certificate fee which is ","applied for each non-authorized credit."),"")</f>
        <v/>
      </c>
      <c r="E13" s="656"/>
      <c r="F13" s="656"/>
      <c r="G13" s="656"/>
      <c r="H13" s="656"/>
      <c r="I13" s="656"/>
      <c r="J13" s="656"/>
      <c r="K13" s="656"/>
      <c r="L13" s="656"/>
      <c r="M13" s="656"/>
      <c r="N13" s="656"/>
      <c r="O13" s="656"/>
      <c r="P13" s="656"/>
      <c r="Q13" s="656"/>
      <c r="R13" s="39"/>
      <c r="S13" s="418"/>
      <c r="T13" s="418"/>
      <c r="U13" s="418"/>
      <c r="V13" s="418"/>
      <c r="W13" s="405"/>
      <c r="X13" s="544" t="s">
        <v>778</v>
      </c>
      <c r="Y13" s="544" t="s">
        <v>729</v>
      </c>
    </row>
    <row r="14" spans="2:25" ht="15.75" customHeight="1" x14ac:dyDescent="0.15">
      <c r="B14" s="413"/>
      <c r="C14" s="553"/>
      <c r="D14" s="74"/>
      <c r="E14" s="550" t="s">
        <v>17</v>
      </c>
      <c r="F14" s="75"/>
      <c r="G14" s="76"/>
      <c r="H14" s="422"/>
      <c r="I14" s="422"/>
      <c r="J14" s="422"/>
      <c r="K14" s="422"/>
      <c r="L14" s="422"/>
      <c r="M14" s="422"/>
      <c r="N14" s="423"/>
      <c r="O14" s="29"/>
      <c r="P14" s="76"/>
      <c r="Q14" s="424"/>
      <c r="R14" s="425"/>
      <c r="S14" s="78" t="s">
        <v>433</v>
      </c>
      <c r="T14" s="78"/>
      <c r="U14" s="78" t="s">
        <v>434</v>
      </c>
      <c r="V14" s="78"/>
      <c r="W14" s="407"/>
      <c r="X14" s="654" t="s">
        <v>435</v>
      </c>
      <c r="Y14" s="654" t="s">
        <v>730</v>
      </c>
    </row>
    <row r="15" spans="2:25" ht="31.5" customHeight="1" thickBot="1" x14ac:dyDescent="0.2">
      <c r="B15" s="413"/>
      <c r="C15" s="68" t="s">
        <v>436</v>
      </c>
      <c r="D15" s="68" t="s">
        <v>437</v>
      </c>
      <c r="E15" s="27" t="s">
        <v>438</v>
      </c>
      <c r="F15" s="69" t="s">
        <v>439</v>
      </c>
      <c r="G15" s="70" t="s">
        <v>440</v>
      </c>
      <c r="H15" s="70" t="s">
        <v>441</v>
      </c>
      <c r="I15" s="70" t="s">
        <v>442</v>
      </c>
      <c r="J15" s="70" t="s">
        <v>443</v>
      </c>
      <c r="K15" s="70" t="s">
        <v>444</v>
      </c>
      <c r="L15" s="70" t="s">
        <v>445</v>
      </c>
      <c r="M15" s="70" t="s">
        <v>446</v>
      </c>
      <c r="N15" s="27" t="s">
        <v>447</v>
      </c>
      <c r="O15" s="27" t="s">
        <v>448</v>
      </c>
      <c r="P15" s="70" t="s">
        <v>449</v>
      </c>
      <c r="Q15" s="27" t="s">
        <v>799</v>
      </c>
      <c r="R15" s="40" t="s">
        <v>450</v>
      </c>
      <c r="S15" s="71" t="s">
        <v>451</v>
      </c>
      <c r="T15" s="71" t="s">
        <v>452</v>
      </c>
      <c r="U15" s="71" t="s">
        <v>451</v>
      </c>
      <c r="V15" s="71" t="s">
        <v>452</v>
      </c>
      <c r="W15" s="407"/>
      <c r="X15" s="654"/>
      <c r="Y15" s="654"/>
    </row>
    <row r="16" spans="2:25" x14ac:dyDescent="0.15">
      <c r="B16" s="413"/>
      <c r="C16" s="426" t="str" cm="1">
        <f t="array" ref="C16:C21">IFERROR(
    _xlfn._xlws.SORT(
        _xlfn.UNIQUE(
            _xlfn._xlws.FILTER(
                tblPreset[Fee_Name],
                _xlfn.LET(
                    _xlpm.sectorCondition, IF(selCountry = "Test country",
                                        tblPreset[Sector] = selProjectType,
                                        tblPreset[Sector] = '4.Inputs'!D8),
                    _xlpm.sSector, _xlpm.sectorCondition + (tblPreset[Sector] = "ANY"),
                    _xlpm.sCountry, (tblPreset[Country] = selCountry),        _xlpm.sFeeGroup, (tblPreset[Fee_Group] = "Administrative Fee"),
                    _xlpm.sActivity, (tblPreset[Activity_Category] = selActivityCat) + (tblPreset[Activity_Category] = "ANY"),
                    _xlpm.sPathway, (tblPreset[Pathway] = "No-authorization") + (tblPreset[Pathway] = "ANY"),
                    _xlpm.sSector * _xlpm.sCountry * _xlpm.sFeeGroup * _xlpm.sActivity * _xlpm.sPathway
                )
            )
        )
    ),
"")</f>
        <v>Article 6.4 letter of approval fee</v>
      </c>
      <c r="D16" s="427"/>
      <c r="E16" s="428"/>
      <c r="F16" s="429" cm="1">
        <f t="array" ref="F16">IFERROR(
    INDEX(
        tblPreset[Rate_or_Amount],
        MATCH(1,
            (selCountry = tblPreset[Country]) *
            (C16 = tblPreset[Fee_Name]) *
            (selActivityCat = tblPreset[Activity_Category]),
            0)
    ),
    IFERROR(
        INDEX(
            tblPreset[Rate_or_Amount],
            MATCH(1,
                (selCountry = tblPreset[Country]) *
                (C16 = tblPreset[Fee_Name]) *
                ("ANY" = tblPreset[Activity_Category]),
                0)
        ),
        ""
    )
)</f>
        <v>1000</v>
      </c>
      <c r="G16" s="429">
        <v>50</v>
      </c>
      <c r="H16" s="347" t="s">
        <v>378</v>
      </c>
      <c r="I16" s="430" t="str" cm="1">
        <f t="array" ref="I16">IFERROR(
    INDEX(
        tblPreset[Fee_Type],
        MATCH(1,
            (selCountry = tblPreset[Country]) *
            (C16 = tblPreset[Fee_Name]) *
            (selActivityCat = tblPreset[Activity_Category]),
            0)
    ),
    IFERROR(
        INDEX(
            tblPreset[Fee_Type],
            MATCH(1,
                (selCountry = tblPreset[Country]) *
                (C16 = tblPreset[Fee_Name]) *
                ("ANY" = tblPreset[Activity_Category]),
                0)
        ),
        ""
    )
)</f>
        <v>Fixed</v>
      </c>
      <c r="J16" s="431" t="s">
        <v>454</v>
      </c>
      <c r="K16" s="432" t="s">
        <v>455</v>
      </c>
      <c r="L16" s="430" t="str" cm="1">
        <f t="array" ref="L16">IFERROR(
    INDEX(
        tblPreset[Unit],
        MATCH(1,
            (selCountry = tblPreset[Country]) *
            (C16 = tblPreset[Fee_Name]) *
            (selActivityCat = tblPreset[Activity_Category]),
            0)
    ),
    IFERROR(
        INDEX(
            tblPreset[Unit],
            MATCH(1,
                (selCountry = tblPreset[Country]) *
                (C16 = tblPreset[Fee_Name]) *
                ("ANY" = tblPreset[Activity_Category]),
                0)
        ),
        ""
    )
)</f>
        <v>USD</v>
      </c>
      <c r="M16" s="431" t="s">
        <v>456</v>
      </c>
      <c r="N16" s="433" cm="1">
        <f t="array" aca="1" ref="N16" ca="1">IF(H16="Yes",
   IF(authorized_credits&lt;&gt;0,
      _xlfn.LET(
         _xlpm.source_val,
            IF(gov_source="Preset data", F16,
               IF(gov_source="User input", G16, "")
            ),
         IF(_xlpm.source_val="","",
            _xlfn.SWITCH(
               IF(gov_source="Preset data", I16,
                  IF(gov_source="User input", J16, "")
               ),
               "Fixed",        _xlpm.source_val,
               "Per_Unit",     _xlpm.source_val*
                  INDIRECT(IF(gov_source="Preset data", P16,
                              IF(gov_source="User input", K16, "")
                  )),
               "In_Kind_Pct",
                  INDIRECT(IF(gov_source="Preset data", P16,
                              IF(gov_source="User input", K16, "")
                  )),
               "Percentage",   _xlpm.source_val*
                  INDIRECT(IF(gov_source="Preset data", P16,
                              IF(gov_source="User input", K16, "")
                  )),
               ""
            )
         )
      ),
      0
   ),
   ""
)</f>
        <v>1000</v>
      </c>
      <c r="O16" s="433">
        <f t="shared" ref="O16:O24" ca="1" si="0">IFERROR(IF(
N16,
IF(gov_source="User input",
IF(L16&lt;&gt;"In kind",
IF(N16&lt;&gt;"",
IF(ISNUMBER(SEARCH("USD",M16)),
N16,
N16*to_usd
),
""
),
N16
),
IF(L16&lt;&gt;"In kind",
IF(N16&lt;&gt;"",
IF(ISNUMBER(SEARCH("USD",L16)),
N16,
N16*to_usd
),
""
),
N16
)
)),0)</f>
        <v>1000</v>
      </c>
      <c r="P16" s="291" t="str" cm="1">
        <f t="array" ref="P16">IFERROR(
    INDEX(
        tblPreset[Applies_To],
        MATCH(1,
            (selCountry = tblPreset[Country]) *
            (C16 = tblPreset[Fee_Name]) *
            (selActivityCat = tblPreset[Activity_Category]),
            0)
    ),
    IFERROR(
        INDEX(
            tblPreset[Applies_To],
            MATCH(1,
                (selCountry = tblPreset[Country]) *
                (C16 = tblPreset[Fee_Name]) *
                ("ANY" = tblPreset[Activity_Category]),
                0)
        ),
        ""
    )
)</f>
        <v>LOA</v>
      </c>
      <c r="Q16" s="434">
        <f t="shared" ref="Q16:Q25" ca="1" si="1">IFERROR(IF(H16="Yes",O16-E16,""),"")</f>
        <v>1000</v>
      </c>
      <c r="R16" s="435" t="str" cm="1">
        <f t="array" ref="R16">IFERROR(
    INDEX(
        tblPreset[Notes],
        MATCH(1,
            (selCountry = tblPreset[Country]) *
            (C16 = tblPreset[Fee_Name]) *
            (selActivityCat = tblPreset[Activity_Category]),
            0)
    ),
    IFERROR(
        INDEX(
            tblPreset[Notes],
            MATCH(1,
                (selCountry = tblPreset[Country]) *
                (C16 = tblPreset[Fee_Name]) *
                ("ANY" = tblPreset[Activity_Category]),
                0)
        ),
        ""
    )
)</f>
        <v xml:space="preserve">Applies to proponents seeking Art. 6.4 approval </v>
      </c>
      <c r="S16" s="407" cm="1">
        <f t="array" ref="S16">IFERROR(
    INDEX(
        tblPreset[Rate_or_Amount],
        MATCH(1,
            (tblPreset[Country] = "Ghana") *
            (C16 = tblPreset[Fee_Name]) *
            (selActivityCat = tblPreset[Activity_Category]),
            0)
    ),
    IFERROR(
        INDEX(
            tblPreset[Rate_or_Amount],
            MATCH(1,
                (tblPreset[Country] = "Ghana") *
                (C16 = tblPreset[Fee_Name]) *
                ("ANY" = tblPreset[Activity_Category]),
                0)
        ),
        ""
    )
)</f>
        <v>1000</v>
      </c>
      <c r="T16" s="407" t="str" cm="1">
        <f t="array" ref="T16">IFERROR(
    INDEX(
        tblPreset[Rate_or_Amount],
        MATCH(1,
            (tblPreset[Country] = "Kenya") *
            (C16 = tblPreset[Fee_Name]) *
            (selActivityCat = tblPreset[Activity_Category]),
            0)
    ),
    IFERROR(
        INDEX(
            tblPreset[Rate_or_Amount],
            MATCH(1,
                (tblPreset[Country] = "Kenya") *
                (C16 = tblPreset[Fee_Name]) *
                ("ANY" = tblPreset[Activity_Category]),
                0)
        ),
        ""
    )
)</f>
        <v/>
      </c>
      <c r="U16" s="407"/>
      <c r="V16" s="407"/>
      <c r="W16" s="407"/>
      <c r="X16" s="363" t="s">
        <v>453</v>
      </c>
      <c r="Y16" s="363" t="s">
        <v>731</v>
      </c>
    </row>
    <row r="17" spans="2:25" x14ac:dyDescent="0.15">
      <c r="B17" s="413"/>
      <c r="C17" s="436" t="str">
        <v>Letter of entity authorization fee</v>
      </c>
      <c r="D17" s="437"/>
      <c r="E17" s="438"/>
      <c r="F17" s="439" cm="1">
        <f t="array" ref="F17">IFERROR(
    INDEX(
        tblPreset[Rate_or_Amount],
        MATCH(1,
            (selCountry = tblPreset[Country]) *
            (C17 = tblPreset[Fee_Name]) *
            (selActivityCat = tblPreset[Activity_Category]),
            0)
    ),
    IFERROR(
        INDEX(
            tblPreset[Rate_or_Amount],
            MATCH(1,
                (selCountry = tblPreset[Country]) *
                (C17 = tblPreset[Fee_Name]) *
                ("ANY" = tblPreset[Activity_Category]),
                0)
        ),
        ""
    )
)</f>
        <v>500</v>
      </c>
      <c r="G17" s="439"/>
      <c r="H17" s="348" t="s">
        <v>378</v>
      </c>
      <c r="I17" s="440" t="str" cm="1">
        <f t="array" ref="I17">IFERROR(
    INDEX(
        tblPreset[Fee_Type],
        MATCH(1,
            (selCountry = tblPreset[Country]) *
            (C17 = tblPreset[Fee_Name]) *
            (selActivityCat = tblPreset[Activity_Category]),
            0)
    ),
    IFERROR(
        INDEX(
            tblPreset[Fee_Type],
            MATCH(1,
                (selCountry = tblPreset[Country]) *
                (C17 = tblPreset[Fee_Name]) *
                ("ANY" = tblPreset[Activity_Category]),
                0)
        ),
        ""
    )
)</f>
        <v>Fixed</v>
      </c>
      <c r="J17" s="441" t="s">
        <v>454</v>
      </c>
      <c r="K17" s="442" t="s">
        <v>455</v>
      </c>
      <c r="L17" s="440" t="str" cm="1">
        <f t="array" ref="L17">IFERROR(
    INDEX(
        tblPreset[Unit],
        MATCH(1,
            (selCountry = tblPreset[Country]) *
            (C17 = tblPreset[Fee_Name]) *
            (selActivityCat = tblPreset[Activity_Category]),
            0)
    ),
    IFERROR(
        INDEX(
            tblPreset[Unit],
            MATCH(1,
                (selCountry = tblPreset[Country]) *
                (C17 = tblPreset[Fee_Name]) *
                ("ANY" = tblPreset[Activity_Category]),
                0)
        ),
        ""
    )
)</f>
        <v>USD</v>
      </c>
      <c r="M17" s="441" t="s">
        <v>458</v>
      </c>
      <c r="N17" s="443" cm="1">
        <f t="array" aca="1" ref="N17" ca="1">IF(H17="Yes",
   IF(authorized_credits&lt;&gt;0,
      _xlfn.LET(
         _xlpm.source_val,
            IF(gov_source="Preset data", F17,
               IF(gov_source="User input", G17, "")
            ),
         IF(_xlpm.source_val="","",
            _xlfn.SWITCH(
               IF(gov_source="Preset data", I17,
                  IF(gov_source="User input", J17, "")
               ),
               "Fixed",        _xlpm.source_val,
               "Per_Unit",     _xlpm.source_val*
                  INDIRECT(IF(gov_source="Preset data", P17,
                              IF(gov_source="User input", K17, "")
                  )),
               "In_Kind_Pct",
                  INDIRECT(IF(gov_source="Preset data", P17,
                              IF(gov_source="User input", K17, "")
                  )),
               "Percentage",   _xlpm.source_val*
                  INDIRECT(IF(gov_source="Preset data", P17,
                              IF(gov_source="User input", K17, "")
                  )),
               ""
            )
         )
      ),
      0
   ),
   ""
)</f>
        <v>500</v>
      </c>
      <c r="O17" s="443">
        <f t="shared" ca="1" si="0"/>
        <v>500</v>
      </c>
      <c r="P17" s="292" t="str" cm="1">
        <f t="array" ref="P17">IFERROR(
    INDEX(
        tblPreset[Applies_To],
        MATCH(1,
            (selCountry = tblPreset[Country]) *
            (C17 = tblPreset[Fee_Name]) *
            (selActivityCat = tblPreset[Activity_Category]),
            0)
    ),
    IFERROR(
        INDEX(
            tblPreset[Applies_To],
            MATCH(1,
                (selCountry = tblPreset[Country]) *
                (C17 = tblPreset[Fee_Name]) *
                ("ANY" = tblPreset[Activity_Category]),
                0)
        ),
        ""
    )
)</f>
        <v>LEA</v>
      </c>
      <c r="Q17" s="444">
        <f t="shared" ca="1" si="1"/>
        <v>500</v>
      </c>
      <c r="R17" s="445" t="str" cm="1">
        <f t="array" ref="R17">IFERROR(
    INDEX(
        tblPreset[Notes],
        MATCH(1,
            (selCountry = tblPreset[Country]) *
            (C17 = tblPreset[Fee_Name]) *
            (selActivityCat = tblPreset[Activity_Category]),
            0)
    ),
    IFERROR(
        INDEX(
            tblPreset[Notes],
            MATCH(1,
                (selCountry = tblPreset[Country]) *
                (C17 = tblPreset[Fee_Name]) *
                ("ANY" = tblPreset[Activity_Category]),
                0)
        ),
        ""
    )
)</f>
        <v>Applies to entities seeking Art.6.4 authorization</v>
      </c>
      <c r="S17" s="407" cm="1">
        <f t="array" ref="S17">IFERROR(
    INDEX(
        tblPreset[Rate_or_Amount],
        MATCH(1,
            (tblPreset[Country] = "Ghana") *
            (C17 = tblPreset[Fee_Name]) *
            (selActivityCat = tblPreset[Activity_Category]),
            0)
    ),
    IFERROR(
        INDEX(
            tblPreset[Rate_or_Amount],
            MATCH(1,
                (tblPreset[Country] = "Ghana") *
                (C17 = tblPreset[Fee_Name]) *
                ("ANY" = tblPreset[Activity_Category]),
                0)
        ),
        ""
    )
)</f>
        <v>500</v>
      </c>
      <c r="T17" s="407" t="str" cm="1">
        <f t="array" ref="T17">IFERROR(
    INDEX(
        tblPreset[Rate_or_Amount],
        MATCH(1,
            (tblPreset[Country] = "Kenya") *
            (C17 = tblPreset[Fee_Name]) *
            (selActivityCat = tblPreset[Activity_Category]),
            0)
    ),
    IFERROR(
        INDEX(
            tblPreset[Rate_or_Amount],
            MATCH(1,
                (tblPreset[Country] = "Kenya") *
                (C17 = tblPreset[Fee_Name]) *
                ("ANY" = tblPreset[Activity_Category]),
                0)
        ),
        ""
    )
)</f>
        <v/>
      </c>
      <c r="U17" s="407"/>
      <c r="V17" s="407"/>
      <c r="W17" s="407"/>
      <c r="X17" s="382" t="s">
        <v>457</v>
      </c>
      <c r="Y17" s="382" t="s">
        <v>732</v>
      </c>
    </row>
    <row r="18" spans="2:25" x14ac:dyDescent="0.15">
      <c r="B18" s="413"/>
      <c r="C18" s="436" t="str">
        <v>Mitigation Activity Identification (MID) fee</v>
      </c>
      <c r="D18" s="437"/>
      <c r="E18" s="438"/>
      <c r="F18" s="22" cm="1">
        <f t="array" ref="F18">IFERROR(
    INDEX(
        tblPreset[Rate_or_Amount],
        MATCH(1,
            (selCountry = tblPreset[Country]) *
            (C18 = tblPreset[Fee_Name]) *
            (selActivityCat = tblPreset[Activity_Category]),
            0)
    ),
    IFERROR(
        INDEX(
            tblPreset[Rate_or_Amount],
            MATCH(1,
                (selCountry = tblPreset[Country]) *
                (C18 = tblPreset[Fee_Name]) *
                ("ANY" = tblPreset[Activity_Category]),
                0)
        ),
        ""
    )
)</f>
        <v>300</v>
      </c>
      <c r="G18" s="22"/>
      <c r="H18" s="23" t="s">
        <v>378</v>
      </c>
      <c r="I18" s="380" t="str" cm="1">
        <f t="array" ref="I18">IFERROR(
    INDEX(
        tblPreset[Fee_Type],
        MATCH(1,
            (selCountry = tblPreset[Country]) *
            (C18 = tblPreset[Fee_Name]) *
            (selActivityCat = tblPreset[Activity_Category]),
            0)
    ),
    IFERROR(
        INDEX(
            tblPreset[Fee_Type],
            MATCH(1,
                (selCountry = tblPreset[Country]) *
                (C18 = tblPreset[Fee_Name]) *
                ("ANY" = tblPreset[Activity_Category]),
                0)
        ),
        ""
    )
)</f>
        <v>Fixed</v>
      </c>
      <c r="J18" s="23" t="s">
        <v>454</v>
      </c>
      <c r="K18" s="23" t="s">
        <v>455</v>
      </c>
      <c r="L18" s="380" t="str" cm="1">
        <f t="array" ref="L18">IFERROR(
    INDEX(
        tblPreset[Unit],
        MATCH(1,
            (selCountry = tblPreset[Country]) *
            (C18 = tblPreset[Fee_Name]) *
            (selActivityCat = tblPreset[Activity_Category]),
            0)
    ),
    IFERROR(
        INDEX(
            tblPreset[Unit],
            MATCH(1,
                (selCountry = tblPreset[Country]) *
                (C18 = tblPreset[Fee_Name]) *
                ("ANY" = tblPreset[Activity_Category]),
                0)
        ),
        ""
    )
)</f>
        <v>USD</v>
      </c>
      <c r="M18" s="23" t="s">
        <v>456</v>
      </c>
      <c r="N18" s="28" cm="1">
        <f t="array" aca="1" ref="N18" ca="1">IF(H18="Yes",
   IF(authorized_credits&lt;&gt;0,
      _xlfn.LET(
         _xlpm.source_val,
            IF(gov_source="Preset data", F18,
               IF(gov_source="User input", G18, "")
            ),
         IF(_xlpm.source_val="","",
            _xlfn.SWITCH(
               IF(gov_source="Preset data", I18,
                  IF(gov_source="User input", J18, "")
               ),
               "Fixed",        _xlpm.source_val,
               "Per_Unit",     _xlpm.source_val*
                  INDIRECT(IF(gov_source="Preset data", P18,
                              IF(gov_source="User input", K18, "")
                  )),
               "In_Kind_Pct",
                  INDIRECT(IF(gov_source="Preset data", P18,
                              IF(gov_source="User input", K18, "")
                  )),
               "Percentage",   _xlpm.source_val*
                  INDIRECT(IF(gov_source="Preset data", P18,
                              IF(gov_source="User input", K18, "")
                  )),
               ""
            )
         )
      ),
      0
   ),
   ""
)</f>
        <v>300</v>
      </c>
      <c r="O18" s="28">
        <f t="shared" ca="1" si="0"/>
        <v>300</v>
      </c>
      <c r="P18" s="293" t="str" cm="1">
        <f t="array" ref="P18">IFERROR(
    INDEX(
        tblPreset[Applies_To],
        MATCH(1,
            (selCountry = tblPreset[Country]) *
            (C18 = tblPreset[Fee_Name]) *
            (selActivityCat = tblPreset[Activity_Category]),
            0)
    ),
    IFERROR(
        INDEX(
            tblPreset[Applies_To],
            MATCH(1,
                (selCountry = tblPreset[Country]) *
                (C18 = tblPreset[Fee_Name]) *
                ("ANY" = tblPreset[Activity_Category]),
                0)
        ),
        ""
    )
)</f>
        <v>MID</v>
      </c>
      <c r="Q18" s="34">
        <f t="shared" ca="1" si="1"/>
        <v>300</v>
      </c>
      <c r="R18" s="41" t="str" cm="1">
        <f t="array" ref="R18">IFERROR(
    INDEX(
        tblPreset[Notes],
        MATCH(1,
            (selCountry = tblPreset[Country]) *
            (C18 = tblPreset[Fee_Name]) *
            (selActivityCat = tblPreset[Activity_Category]),
            0)
    ),
    IFERROR(
        INDEX(
            tblPreset[Notes],
            MATCH(1,
                (selCountry = tblPreset[Country]) *
                (C18 = tblPreset[Fee_Name]) *
                ("ANY" = tblPreset[Activity_Category]),
                0)
        ),
        ""
    )
)</f>
        <v>Applies only if MAP not created</v>
      </c>
      <c r="S18" s="407" cm="1">
        <f t="array" ref="S18">IFERROR(
    INDEX(
        tblPreset[Rate_or_Amount],
        MATCH(1,
            (tblPreset[Country] = "Ghana") *
            (C18 = tblPreset[Fee_Name]) *
            (selActivityCat = tblPreset[Activity_Category]),
            0)
    ),
    IFERROR(
        INDEX(
            tblPreset[Rate_or_Amount],
            MATCH(1,
                (tblPreset[Country] = "Ghana") *
                (C18 = tblPreset[Fee_Name]) *
                ("ANY" = tblPreset[Activity_Category]),
                0)
        ),
        ""
    )
)</f>
        <v>300</v>
      </c>
      <c r="T18" s="407" t="str" cm="1">
        <f t="array" ref="T18">IFERROR(
    INDEX(
        tblPreset[Rate_or_Amount],
        MATCH(1,
            (tblPreset[Country] = "Kenya") *
            (C18 = tblPreset[Fee_Name]) *
            (selActivityCat = tblPreset[Activity_Category]),
            0)
    ),
    IFERROR(
        INDEX(
            tblPreset[Rate_or_Amount],
            MATCH(1,
                (tblPreset[Country] = "Kenya") *
                (C18 = tblPreset[Fee_Name]) *
                ("ANY" = tblPreset[Activity_Category]),
                0)
        ),
        ""
    )
)</f>
        <v/>
      </c>
      <c r="U18" s="407"/>
      <c r="V18" s="407"/>
      <c r="W18" s="407"/>
      <c r="X18" s="655" t="s">
        <v>459</v>
      </c>
      <c r="Y18" s="655" t="s">
        <v>733</v>
      </c>
    </row>
    <row r="19" spans="2:25" x14ac:dyDescent="0.15">
      <c r="B19" s="413"/>
      <c r="C19" s="436" t="str">
        <v>Mitigation Activity Participant or Entity Application Fee</v>
      </c>
      <c r="D19" s="437"/>
      <c r="E19" s="438"/>
      <c r="F19" s="22" cm="1">
        <f t="array" ref="F19">IFERROR(
    INDEX(
        tblPreset[Rate_or_Amount],
        MATCH(1,
            (selCountry = tblPreset[Country]) *
            (C19 = tblPreset[Fee_Name]) *
            (selActivityCat = tblPreset[Activity_Category]),
            0)
    ),
    IFERROR(
        INDEX(
            tblPreset[Rate_or_Amount],
            MATCH(1,
                (selCountry = tblPreset[Country]) *
                (C19 = tblPreset[Fee_Name]) *
                ("ANY" = tblPreset[Activity_Category]),
                0)
        ),
        ""
    )
)</f>
        <v>500</v>
      </c>
      <c r="G19" s="22"/>
      <c r="H19" s="23" t="s">
        <v>378</v>
      </c>
      <c r="I19" s="380" t="str" cm="1">
        <f t="array" ref="I19">IFERROR(
    INDEX(
        tblPreset[Fee_Type],
        MATCH(1,
            (selCountry = tblPreset[Country]) *
            (C19 = tblPreset[Fee_Name]) *
            (selActivityCat = tblPreset[Activity_Category]),
            0)
    ),
    IFERROR(
        INDEX(
            tblPreset[Fee_Type],
            MATCH(1,
                (selCountry = tblPreset[Country]) *
                (C19 = tblPreset[Fee_Name]) *
                ("ANY" = tblPreset[Activity_Category]),
                0)
        ),
        ""
    )
)</f>
        <v>Fixed</v>
      </c>
      <c r="J19" s="23" t="s">
        <v>454</v>
      </c>
      <c r="K19" s="23" t="s">
        <v>455</v>
      </c>
      <c r="L19" s="380" t="str" cm="1">
        <f t="array" ref="L19">IFERROR(
    INDEX(
        tblPreset[Unit],
        MATCH(1,
            (selCountry = tblPreset[Country]) *
            (C19 = tblPreset[Fee_Name]) *
            (selActivityCat = tblPreset[Activity_Category]),
            0)
    ),
    IFERROR(
        INDEX(
            tblPreset[Unit],
            MATCH(1,
                (selCountry = tblPreset[Country]) *
                (C19 = tblPreset[Fee_Name]) *
                ("ANY" = tblPreset[Activity_Category]),
                0)
        ),
        ""
    )
)</f>
        <v>USD</v>
      </c>
      <c r="M19" s="23" t="s">
        <v>456</v>
      </c>
      <c r="N19" s="28" cm="1">
        <f t="array" aca="1" ref="N19" ca="1">IF(H19="Yes",
   IF(authorized_credits&lt;&gt;0,
      _xlfn.LET(
         _xlpm.source_val,
            IF(gov_source="Preset data", F19,
               IF(gov_source="User input", G19, "")
            ),
         IF(_xlpm.source_val="","",
            _xlfn.SWITCH(
               IF(gov_source="Preset data", I19,
                  IF(gov_source="User input", J19, "")
               ),
               "Fixed",        _xlpm.source_val,
               "Per_Unit",     _xlpm.source_val*
                  INDIRECT(IF(gov_source="Preset data", P19,
                              IF(gov_source="User input", K19, "")
                  )),
               "In_Kind_Pct",
                  INDIRECT(IF(gov_source="Preset data", P19,
                              IF(gov_source="User input", K19, "")
                  )),
               "Percentage",   _xlpm.source_val*
                  INDIRECT(IF(gov_source="Preset data", P19,
                              IF(gov_source="User input", K19, "")
                  )),
               ""
            )
         )
      ),
      0
   ),
   ""
)</f>
        <v>500</v>
      </c>
      <c r="O19" s="28">
        <f t="shared" ca="1" si="0"/>
        <v>500</v>
      </c>
      <c r="P19" s="293" t="str" cm="1">
        <f t="array" ref="P19">IFERROR(
    INDEX(
        tblPreset[Applies_To],
        MATCH(1,
            (selCountry = tblPreset[Country]) *
            (C19 = tblPreset[Fee_Name]) *
            (selActivityCat = tblPreset[Activity_Category]),
            0)
    ),
    IFERROR(
        INDEX(
            tblPreset[Applies_To],
            MATCH(1,
                (selCountry = tblPreset[Country]) *
                (C19 = tblPreset[Fee_Name]) *
                ("ANY" = tblPreset[Activity_Category]),
                0)
        ),
        ""
    )
)</f>
        <v>MAP</v>
      </c>
      <c r="Q19" s="34">
        <f t="shared" ca="1" si="1"/>
        <v>500</v>
      </c>
      <c r="R19" s="41" t="str" cm="1">
        <f t="array" ref="R19">IFERROR(
    INDEX(
        tblPreset[Notes],
        MATCH(1,
            (selCountry = tblPreset[Country]) *
            (C19 = tblPreset[Fee_Name]) *
            (selActivityCat = tblPreset[Activity_Category]),
            0)
    ),
    IFERROR(
        INDEX(
            tblPreset[Notes],
            MATCH(1,
                (selCountry = tblPreset[Country]) *
                (C19 = tblPreset[Fee_Name]) *
                ("ANY" = tblPreset[Activity_Category]),
                0)
        ),
        ""
    )
)</f>
        <v>One time fee paid on account creation</v>
      </c>
      <c r="S19" s="407" cm="1">
        <f t="array" ref="S19">IFERROR(
    INDEX(
        tblPreset[Rate_or_Amount],
        MATCH(1,
            (tblPreset[Country] = "Ghana") *
            (C19 = tblPreset[Fee_Name]) *
            (selActivityCat = tblPreset[Activity_Category]),
            0)
    ),
    IFERROR(
        INDEX(
            tblPreset[Rate_or_Amount],
            MATCH(1,
                (tblPreset[Country] = "Ghana") *
                (C19 = tblPreset[Fee_Name]) *
                ("ANY" = tblPreset[Activity_Category]),
                0)
        ),
        ""
    )
)</f>
        <v>500</v>
      </c>
      <c r="T19" s="407" t="str" cm="1">
        <f t="array" ref="T19">IFERROR(
    INDEX(
        tblPreset[Rate_or_Amount],
        MATCH(1,
            (tblPreset[Country] = "Kenya") *
            (C19 = tblPreset[Fee_Name]) *
            (selActivityCat = tblPreset[Activity_Category]),
            0)
    ),
    IFERROR(
        INDEX(
            tblPreset[Rate_or_Amount],
            MATCH(1,
                (tblPreset[Country] = "Kenya") *
                (C19 = tblPreset[Fee_Name]) *
                ("ANY" = tblPreset[Activity_Category]),
                0)
        ),
        ""
    )
)</f>
        <v/>
      </c>
      <c r="U19" s="407"/>
      <c r="V19" s="407"/>
      <c r="W19" s="407"/>
      <c r="X19" s="655"/>
      <c r="Y19" s="655"/>
    </row>
    <row r="20" spans="2:25" x14ac:dyDescent="0.15">
      <c r="B20" s="413"/>
      <c r="C20" s="436" t="str">
        <v>Unique Identification Number (UIN) - additional activities</v>
      </c>
      <c r="D20" s="437"/>
      <c r="E20" s="438"/>
      <c r="F20" s="22" cm="1">
        <f t="array" ref="F20">IFERROR(
    INDEX(
        tblPreset[Rate_or_Amount],
        MATCH(1,
            (selCountry = tblPreset[Country]) *
            (C20 = tblPreset[Fee_Name]) *
            (selActivityCat = tblPreset[Activity_Category]),
            0)
    ),
    IFERROR(
        INDEX(
            tblPreset[Rate_or_Amount],
            MATCH(1,
                (selCountry = tblPreset[Country]) *
                (C20 = tblPreset[Fee_Name]) *
                ("ANY" = tblPreset[Activity_Category]),
                0)
        ),
        ""
    )
)</f>
        <v>300</v>
      </c>
      <c r="G20" s="22"/>
      <c r="H20" s="23" t="s">
        <v>378</v>
      </c>
      <c r="I20" s="380" t="str" cm="1">
        <f t="array" ref="I20">IFERROR(
    INDEX(
        tblPreset[Fee_Type],
        MATCH(1,
            (selCountry = tblPreset[Country]) *
            (C20 = tblPreset[Fee_Name]) *
            (selActivityCat = tblPreset[Activity_Category]),
            0)
    ),
    IFERROR(
        INDEX(
            tblPreset[Fee_Type],
            MATCH(1,
                (selCountry = tblPreset[Country]) *
                (C20 = tblPreset[Fee_Name]) *
                ("ANY" = tblPreset[Activity_Category]),
                0)
        ),
        ""
    )
)</f>
        <v>Fixed</v>
      </c>
      <c r="J20" s="23" t="s">
        <v>454</v>
      </c>
      <c r="K20" s="23" t="s">
        <v>461</v>
      </c>
      <c r="L20" s="380" t="str" cm="1">
        <f t="array" ref="L20">IFERROR(
    INDEX(
        tblPreset[Unit],
        MATCH(1,
            (selCountry = tblPreset[Country]) *
            (C20 = tblPreset[Fee_Name]) *
            (selActivityCat = tblPreset[Activity_Category]),
            0)
    ),
    IFERROR(
        INDEX(
            tblPreset[Unit],
            MATCH(1,
                (selCountry = tblPreset[Country]) *
                (C20 = tblPreset[Fee_Name]) *
                ("ANY" = tblPreset[Activity_Category]),
                0)
        ),
        ""
    )
)</f>
        <v>USD</v>
      </c>
      <c r="M20" s="23" t="s">
        <v>456</v>
      </c>
      <c r="N20" s="28" cm="1">
        <f t="array" aca="1" ref="N20" ca="1">IF(H20="Yes",
   IF(authorized_credits&lt;&gt;0,
      _xlfn.LET(
         _xlpm.source_val,
            IF(gov_source="Preset data", F20,
               IF(gov_source="User input", G20, "")
            ),
         IF(_xlpm.source_val="","",
            _xlfn.SWITCH(
               IF(gov_source="Preset data", I20,
                  IF(gov_source="User input", J20, "")
               ),
               "Fixed",        _xlpm.source_val,
               "Per_Unit",     _xlpm.source_val*
                  INDIRECT(IF(gov_source="Preset data", P20,
                              IF(gov_source="User input", K20, "")
                  )),
               "In_Kind_Pct",
                  INDIRECT(IF(gov_source="Preset data", P20,
                              IF(gov_source="User input", K20, "")
                  )),
               "Percentage",   _xlpm.source_val*
                  INDIRECT(IF(gov_source="Preset data", P20,
                              IF(gov_source="User input", K20, "")
                  )),
               ""
            )
         )
      ),
      0
   ),
   ""
)</f>
        <v>300</v>
      </c>
      <c r="O20" s="28">
        <f t="shared" ca="1" si="0"/>
        <v>300</v>
      </c>
      <c r="P20" s="293" t="str" cm="1">
        <f t="array" ref="P20">IFERROR(
    INDEX(
        tblPreset[Applies_To],
        MATCH(1,
            (selCountry = tblPreset[Country]) *
            (C20 = tblPreset[Fee_Name]) *
            (selActivityCat = tblPreset[Activity_Category]),
            0)
    ),
    IFERROR(
        INDEX(
            tblPreset[Applies_To],
            MATCH(1,
                (selCountry = tblPreset[Country]) *
                (C20 = tblPreset[Fee_Name]) *
                ("ANY" = tblPreset[Activity_Category]),
                0)
        ),
        ""
    )
)</f>
        <v>UIN</v>
      </c>
      <c r="Q20" s="34">
        <f t="shared" ca="1" si="1"/>
        <v>300</v>
      </c>
      <c r="R20" s="41" t="str" cm="1">
        <f t="array" ref="R20">IFERROR(
    INDEX(
        tblPreset[Notes],
        MATCH(1,
            (selCountry = tblPreset[Country]) *
            (C20 = tblPreset[Fee_Name]) *
            (selActivityCat = tblPreset[Activity_Category]),
            0)
    ),
    IFERROR(
        INDEX(
            tblPreset[Notes],
            MATCH(1,
                (selCountry = tblPreset[Country]) *
                (C20 = tblPreset[Fee_Name]) *
                ("ANY" = tblPreset[Activity_Category]),
                0)
        ),
        ""
    )
)</f>
        <v>Applies for new/additional activities</v>
      </c>
      <c r="S20" s="407" cm="1">
        <f t="array" ref="S20">IFERROR(
    INDEX(
        tblPreset[Rate_or_Amount],
        MATCH(1,
            (tblPreset[Country] = "Ghana") *
            (C20 = tblPreset[Fee_Name]) *
            (selActivityCat = tblPreset[Activity_Category]),
            0)
    ),
    IFERROR(
        INDEX(
            tblPreset[Rate_or_Amount],
            MATCH(1,
                (tblPreset[Country] = "Ghana") *
                (C20 = tblPreset[Fee_Name]) *
                ("ANY" = tblPreset[Activity_Category]),
                0)
        ),
        ""
    )
)</f>
        <v>300</v>
      </c>
      <c r="T20" s="407" t="str" cm="1">
        <f t="array" ref="T20">IFERROR(
    INDEX(
        tblPreset[Rate_or_Amount],
        MATCH(1,
            (tblPreset[Country] = "Kenya") *
            (C20 = tblPreset[Fee_Name]) *
            (selActivityCat = tblPreset[Activity_Category]),
            0)
    ),
    IFERROR(
        INDEX(
            tblPreset[Rate_or_Amount],
            MATCH(1,
                (tblPreset[Country] = "Kenya") *
                (C20 = tblPreset[Fee_Name]) *
                ("ANY" = tblPreset[Activity_Category]),
                0)
        ),
        ""
    )
)</f>
        <v/>
      </c>
      <c r="U20" s="407"/>
      <c r="V20" s="407"/>
      <c r="W20" s="407"/>
      <c r="X20" s="654" t="s">
        <v>460</v>
      </c>
      <c r="Y20" s="654" t="s">
        <v>734</v>
      </c>
    </row>
    <row r="21" spans="2:25" x14ac:dyDescent="0.15">
      <c r="B21" s="413"/>
      <c r="C21" s="436" t="str">
        <v>Unique Identification Number (UIN) - initial</v>
      </c>
      <c r="D21" s="437"/>
      <c r="E21" s="438"/>
      <c r="F21" s="22" cm="1">
        <f t="array" ref="F21">IFERROR(
    INDEX(
        tblPreset[Rate_or_Amount],
        MATCH(1,
            (selCountry = tblPreset[Country]) *
            (C21 = tblPreset[Fee_Name]) *
            (selActivityCat = tblPreset[Activity_Category]),
            0)
    ),
    IFERROR(
        INDEX(
            tblPreset[Rate_or_Amount],
            MATCH(1,
                (selCountry = tblPreset[Country]) *
                (C21 = tblPreset[Fee_Name]) *
                ("ANY" = tblPreset[Activity_Category]),
                0)
        ),
        ""
    )
)</f>
        <v>400</v>
      </c>
      <c r="G21" s="22"/>
      <c r="H21" s="23" t="s">
        <v>378</v>
      </c>
      <c r="I21" s="380" t="str" cm="1">
        <f t="array" ref="I21">IFERROR(
    INDEX(
        tblPreset[Fee_Type],
        MATCH(1,
            (selCountry = tblPreset[Country]) *
            (C21 = tblPreset[Fee_Name]) *
            (selActivityCat = tblPreset[Activity_Category]),
            0)
    ),
    IFERROR(
        INDEX(
            tblPreset[Fee_Type],
            MATCH(1,
                (selCountry = tblPreset[Country]) *
                (C21 = tblPreset[Fee_Name]) *
                ("ANY" = tblPreset[Activity_Category]),
                0)
        ),
        ""
    )
)</f>
        <v>Fixed</v>
      </c>
      <c r="J21" s="23" t="s">
        <v>454</v>
      </c>
      <c r="K21" s="23" t="s">
        <v>455</v>
      </c>
      <c r="L21" s="380" t="str" cm="1">
        <f t="array" ref="L21">IFERROR(
    INDEX(
        tblPreset[Unit],
        MATCH(1,
            (selCountry = tblPreset[Country]) *
            (C21 = tblPreset[Fee_Name]) *
            (selActivityCat = tblPreset[Activity_Category]),
            0)
    ),
    IFERROR(
        INDEX(
            tblPreset[Unit],
            MATCH(1,
                (selCountry = tblPreset[Country]) *
                (C21 = tblPreset[Fee_Name]) *
                ("ANY" = tblPreset[Activity_Category]),
                0)
        ),
        ""
    )
)</f>
        <v>USD</v>
      </c>
      <c r="M21" s="23" t="s">
        <v>456</v>
      </c>
      <c r="N21" s="28" cm="1">
        <f t="array" aca="1" ref="N21" ca="1">IF(H21="Yes",
   IF(authorized_credits&lt;&gt;0,
      _xlfn.LET(
         _xlpm.source_val,
            IF(gov_source="Preset data", F21,
               IF(gov_source="User input", G21, "")
            ),
         IF(_xlpm.source_val="","",
            _xlfn.SWITCH(
               IF(gov_source="Preset data", I21,
                  IF(gov_source="User input", J21, "")
               ),
               "Fixed",        _xlpm.source_val,
               "Per_Unit",     _xlpm.source_val*
                  INDIRECT(IF(gov_source="Preset data", P21,
                              IF(gov_source="User input", K21, "")
                  )),
               "In_Kind_Pct",
                  INDIRECT(IF(gov_source="Preset data", P21,
                              IF(gov_source="User input", K21, "")
                  )),
               "Percentage",   _xlpm.source_val*
                  INDIRECT(IF(gov_source="Preset data", P21,
                              IF(gov_source="User input", K21, "")
                  )),
               ""
            )
         )
      ),
      0
   ),
   ""
)</f>
        <v>400</v>
      </c>
      <c r="O21" s="28">
        <f t="shared" ca="1" si="0"/>
        <v>400</v>
      </c>
      <c r="P21" s="293" t="str" cm="1">
        <f t="array" ref="P21">IFERROR(
    INDEX(
        tblPreset[Applies_To],
        MATCH(1,
            (selCountry = tblPreset[Country]) *
            (C21 = tblPreset[Fee_Name]) *
            (selActivityCat = tblPreset[Activity_Category]),
            0)
    ),
    IFERROR(
        INDEX(
            tblPreset[Applies_To],
            MATCH(1,
                (selCountry = tblPreset[Country]) *
                (C21 = tblPreset[Fee_Name]) *
                ("ANY" = tblPreset[Activity_Category]),
                0)
        ),
        ""
    )
)</f>
        <v>UIN</v>
      </c>
      <c r="Q21" s="34">
        <f t="shared" ca="1" si="1"/>
        <v>400</v>
      </c>
      <c r="R21" s="41" t="str" cm="1">
        <f t="array" ref="R21">IFERROR(
    INDEX(
        tblPreset[Notes],
        MATCH(1,
            (selCountry = tblPreset[Country]) *
            (C21 = tblPreset[Fee_Name]) *
            (selActivityCat = tblPreset[Activity_Category]),
            0)
    ),
    IFERROR(
        INDEX(
            tblPreset[Notes],
            MATCH(1,
                (selCountry = tblPreset[Country]) *
                (C21 = tblPreset[Fee_Name]) *
                ("ANY" = tblPreset[Activity_Category]),
                0)
        ),
        ""
    )
)</f>
        <v>One time UIN issuance fee</v>
      </c>
      <c r="S21" s="407" cm="1">
        <f t="array" ref="S21">IFERROR(
    INDEX(
        tblPreset[Rate_or_Amount],
        MATCH(1,
            (tblPreset[Country] = "Ghana") *
            (C21 = tblPreset[Fee_Name]) *
            (selActivityCat = tblPreset[Activity_Category]),
            0)
    ),
    IFERROR(
        INDEX(
            tblPreset[Rate_or_Amount],
            MATCH(1,
                (tblPreset[Country] = "Ghana") *
                (C21 = tblPreset[Fee_Name]) *
                ("ANY" = tblPreset[Activity_Category]),
                0)
        ),
        ""
    )
)</f>
        <v>400</v>
      </c>
      <c r="T21" s="407" t="str" cm="1">
        <f t="array" ref="T21">IFERROR(
    INDEX(
        tblPreset[Rate_or_Amount],
        MATCH(1,
            (tblPreset[Country] = "Kenya") *
            (C21 = tblPreset[Fee_Name]) *
            (selActivityCat = tblPreset[Activity_Category]),
            0)
    ),
    IFERROR(
        INDEX(
            tblPreset[Rate_or_Amount],
            MATCH(1,
                (tblPreset[Country] = "Kenya") *
                (C21 = tblPreset[Fee_Name]) *
                ("ANY" = tblPreset[Activity_Category]),
                0)
        ),
        ""
    )
)</f>
        <v/>
      </c>
      <c r="U21" s="407"/>
      <c r="V21" s="407"/>
      <c r="W21" s="407"/>
      <c r="X21" s="654"/>
      <c r="Y21" s="654"/>
    </row>
    <row r="22" spans="2:25" hidden="1" x14ac:dyDescent="0.2">
      <c r="B22" s="413"/>
      <c r="C22" s="419"/>
      <c r="D22" s="446"/>
      <c r="E22" s="447"/>
      <c r="F22" s="448" t="str" cm="1">
        <f t="array" ref="F22">IFERROR(
    INDEX(
        tblPreset[Rate_or_Amount],
        MATCH(1,
            (selCountry = tblPreset[Country]) *
            (C22 = tblPreset[Fee_Name]) *
            (selActivityCat = tblPreset[Activity_Category]),
            0)
    ),
    IFERROR(
        INDEX(
            tblPreset[Rate_or_Amount],
            MATCH(1,
                (selCountry = tblPreset[Country]) *
                (C22 = tblPreset[Fee_Name]) *
                ("ANY" = tblPreset[Activity_Category]),
                0)
        ),
        ""
    )
)</f>
        <v/>
      </c>
      <c r="G22" s="448"/>
      <c r="H22" s="349" t="s">
        <v>378</v>
      </c>
      <c r="I22" s="422" t="str" cm="1">
        <f t="array" ref="I22">IFERROR(
    INDEX(
        tblPreset[Fee_Type],
        MATCH(1,
            (selCountry = tblPreset[Country]) *
            (C22 = tblPreset[Fee_Name]) *
            (selActivityCat = tblPreset[Activity_Category]),
            0)
    ),
    IFERROR(
        INDEX(
            tblPreset[Fee_Type],
            MATCH(1,
                (selCountry = tblPreset[Country]) *
                (C22 = tblPreset[Fee_Name]) *
                ("ANY" = tblPreset[Activity_Category]),
                0)
        ),
        ""
    )
)</f>
        <v/>
      </c>
      <c r="J22" s="449" t="s">
        <v>454</v>
      </c>
      <c r="K22" s="449" t="s">
        <v>455</v>
      </c>
      <c r="L22" s="422" t="str" cm="1">
        <f t="array" ref="L22">IFERROR(
    INDEX(
        tblPreset[Unit],
        MATCH(1,
            (selCountry = tblPreset[Country]) *
            (C22 = tblPreset[Fee_Name]) *
            (selActivityCat = tblPreset[Activity_Category]),
            0)
    ),
    IFERROR(
        INDEX(
            tblPreset[Unit],
            MATCH(1,
                (selCountry = tblPreset[Country]) *
                (C22 = tblPreset[Fee_Name]) *
                ("ANY" = tblPreset[Activity_Category]),
                0)
        ),
        ""
    )
)</f>
        <v/>
      </c>
      <c r="M22" s="449" t="s">
        <v>456</v>
      </c>
      <c r="N22" s="450" t="str" cm="1">
        <f t="array" aca="1" ref="N22" ca="1">IF(H22="Yes",
   IF(authorized_credits&lt;&gt;0,
      _xlfn.LET(
         _xlpm.source_val,
            IF(gov_source="Preset data", F22,
               IF(gov_source="User input", G22, "")
            ),
         IF(_xlpm.source_val="","",
            _xlfn.SWITCH(
               IF(gov_source="Preset data", I22,
                  IF(gov_source="User input", J22, "")
               ),
               "Fixed",        _xlpm.source_val,
               "Per_Unit",     _xlpm.source_val*
                  INDIRECT(IF(gov_source="Preset data", P22,
                              IF(gov_source="User input", K22, "")
                  )),
               "In_Kind_Pct",
                  INDIRECT(IF(gov_source="Preset data", P22,
                              IF(gov_source="User input", K22, "")
                  )),
               "Percentage",   _xlpm.source_val*
                  INDIRECT(IF(gov_source="Preset data", P22,
                              IF(gov_source="User input", K22, "")
                  )),
               ""
            )
         )
      ),
      0
   ),
   ""
)</f>
        <v/>
      </c>
      <c r="O22" s="450">
        <f t="shared" ca="1" si="0"/>
        <v>0</v>
      </c>
      <c r="P22" s="295" t="str" cm="1">
        <f t="array" ref="P22">IFERROR(
    INDEX(
        tblPreset[Applies_To],
        MATCH(1,
            (selCountry = tblPreset[Country]) *
            (C22 = tblPreset[Fee_Name]) *
            (selActivityCat = tblPreset[Activity_Category]),
            0)
    ),
    IFERROR(
        INDEX(
            tblPreset[Applies_To],
            MATCH(1,
                (selCountry = tblPreset[Country]) *
                (C22 = tblPreset[Fee_Name]) *
                ("ANY" = tblPreset[Activity_Category]),
                0)
        ),
        ""
    )
)</f>
        <v/>
      </c>
      <c r="Q22" s="451">
        <f t="shared" ca="1" si="1"/>
        <v>0</v>
      </c>
      <c r="R22" s="425" t="str" cm="1">
        <f t="array" ref="R22">IFERROR(
    INDEX(
        tblPreset[Notes],
        MATCH(1,
            (selCountry = tblPreset[Country]) *
            (C22 = tblPreset[Fee_Name]) *
            (selActivityCat = tblPreset[Activity_Category]),
            0)
    ),
    IFERROR(
        INDEX(
            tblPreset[Notes],
            MATCH(1,
                (selCountry = tblPreset[Country]) *
                (C22 = tblPreset[Fee_Name]) *
                ("ANY" = tblPreset[Activity_Category]),
                0)
        ),
        ""
    )
)</f>
        <v/>
      </c>
      <c r="S22" s="407" t="str" cm="1">
        <f t="array" ref="S22">IFERROR(
    INDEX(
        tblPreset[Rate_or_Amount],
        MATCH(1,
            (tblPreset[Country] = "Ghana") *
            (C22 = tblPreset[Fee_Name]) *
            (selActivityCat = tblPreset[Activity_Category]),
            0)
    ),
    IFERROR(
        INDEX(
            tblPreset[Rate_or_Amount],
            MATCH(1,
                (tblPreset[Country] = "Ghana") *
                (C22 = tblPreset[Fee_Name]) *
                ("ANY" = tblPreset[Activity_Category]),
                0)
        ),
        ""
    )
)</f>
        <v/>
      </c>
      <c r="T22" s="407"/>
      <c r="U22" s="407"/>
      <c r="V22" s="407"/>
      <c r="W22" s="407"/>
      <c r="X22" s="360"/>
      <c r="Y22" s="360"/>
    </row>
    <row r="23" spans="2:25" hidden="1" x14ac:dyDescent="0.2">
      <c r="B23" s="413"/>
      <c r="C23" s="419"/>
      <c r="D23" s="446"/>
      <c r="E23" s="447"/>
      <c r="F23" s="448" t="str" cm="1">
        <f t="array" ref="F23">IFERROR(
    INDEX(
        tblPreset[Rate_or_Amount],
        MATCH(1,
            (selCountry = tblPreset[Country]) *
            (C23 = tblPreset[Fee_Name]) *
            (selActivityCat = tblPreset[Activity_Category]),
            0)
    ),
    IFERROR(
        INDEX(
            tblPreset[Rate_or_Amount],
            MATCH(1,
                (selCountry = tblPreset[Country]) *
                (C23 = tblPreset[Fee_Name]) *
                ("ANY" = tblPreset[Activity_Category]),
                0)
        ),
        ""
    )
)</f>
        <v/>
      </c>
      <c r="G23" s="448"/>
      <c r="H23" s="349" t="s">
        <v>378</v>
      </c>
      <c r="I23" s="422" t="str" cm="1">
        <f t="array" ref="I23">IFERROR(
    INDEX(
        tblPreset[Fee_Type],
        MATCH(1,
            (selCountry = tblPreset[Country]) *
            (C23 = tblPreset[Fee_Name]) *
            (selActivityCat = tblPreset[Activity_Category]),
            0)
    ),
    IFERROR(
        INDEX(
            tblPreset[Fee_Type],
            MATCH(1,
                (selCountry = tblPreset[Country]) *
                (C23 = tblPreset[Fee_Name]) *
                ("ANY" = tblPreset[Activity_Category]),
                0)
        ),
        ""
    )
)</f>
        <v/>
      </c>
      <c r="J23" s="449" t="s">
        <v>454</v>
      </c>
      <c r="K23" s="449" t="s">
        <v>455</v>
      </c>
      <c r="L23" s="422" t="str" cm="1">
        <f t="array" ref="L23">IFERROR(
    INDEX(
        tblPreset[Unit],
        MATCH(1,
            (selCountry = tblPreset[Country]) *
            (C23 = tblPreset[Fee_Name]) *
            (selActivityCat = tblPreset[Activity_Category]),
            0)
    ),
    IFERROR(
        INDEX(
            tblPreset[Unit],
            MATCH(1,
                (selCountry = tblPreset[Country]) *
                (C23 = tblPreset[Fee_Name]) *
                ("ANY" = tblPreset[Activity_Category]),
                0)
        ),
        ""
    )
)</f>
        <v/>
      </c>
      <c r="M23" s="449" t="s">
        <v>456</v>
      </c>
      <c r="N23" s="450" t="str" cm="1">
        <f t="array" aca="1" ref="N23" ca="1">IF(H23="Yes",
   IF(authorized_credits&lt;&gt;0,
      _xlfn.LET(
         _xlpm.source_val,
            IF(gov_source="Preset data", F23,
               IF(gov_source="User input", G23, "")
            ),
         IF(_xlpm.source_val="","",
            _xlfn.SWITCH(
               IF(gov_source="Preset data", I23,
                  IF(gov_source="User input", J23, "")
               ),
               "Fixed",        _xlpm.source_val,
               "Per_Unit",     _xlpm.source_val*
                  INDIRECT(IF(gov_source="Preset data", P23,
                              IF(gov_source="User input", K23, "")
                  )),
               "In_Kind_Pct",
                  INDIRECT(IF(gov_source="Preset data", P23,
                              IF(gov_source="User input", K23, "")
                  )),
               "Percentage",   _xlpm.source_val*
                  INDIRECT(IF(gov_source="Preset data", P23,
                              IF(gov_source="User input", K23, "")
                  )),
               ""
            )
         )
      ),
      0
   ),
   ""
)</f>
        <v/>
      </c>
      <c r="O23" s="450">
        <f t="shared" ca="1" si="0"/>
        <v>0</v>
      </c>
      <c r="P23" s="295" t="str" cm="1">
        <f t="array" ref="P23">IFERROR(
    INDEX(
        tblPreset[Applies_To],
        MATCH(1,
            (selCountry = tblPreset[Country]) *
            (C23 = tblPreset[Fee_Name]) *
            (selActivityCat = tblPreset[Activity_Category]),
            0)
    ),
    IFERROR(
        INDEX(
            tblPreset[Applies_To],
            MATCH(1,
                (selCountry = tblPreset[Country]) *
                (C23 = tblPreset[Fee_Name]) *
                ("ANY" = tblPreset[Activity_Category]),
                0)
        ),
        ""
    )
)</f>
        <v/>
      </c>
      <c r="Q23" s="451">
        <f t="shared" ca="1" si="1"/>
        <v>0</v>
      </c>
      <c r="R23" s="425" t="str" cm="1">
        <f t="array" ref="R23">IFERROR(
    INDEX(
        tblPreset[Notes],
        MATCH(1,
            (selCountry = tblPreset[Country]) *
            (C23 = tblPreset[Fee_Name]) *
            (selActivityCat = tblPreset[Activity_Category]),
            0)
    ),
    IFERROR(
        INDEX(
            tblPreset[Notes],
            MATCH(1,
                (selCountry = tblPreset[Country]) *
                (C23 = tblPreset[Fee_Name]) *
                ("ANY" = tblPreset[Activity_Category]),
                0)
        ),
        ""
    )
)</f>
        <v/>
      </c>
      <c r="S23" s="407"/>
      <c r="T23" s="407"/>
      <c r="U23" s="407"/>
      <c r="V23" s="407"/>
      <c r="W23" s="407"/>
      <c r="X23" s="360"/>
      <c r="Y23" s="360"/>
    </row>
    <row r="24" spans="2:25" hidden="1" x14ac:dyDescent="0.2">
      <c r="B24" s="413"/>
      <c r="C24" s="419"/>
      <c r="D24" s="446"/>
      <c r="E24" s="447"/>
      <c r="F24" s="448" t="str" cm="1">
        <f t="array" ref="F24">IFERROR(
    INDEX(
        tblPreset[Rate_or_Amount],
        MATCH(1,
            (selCountry = tblPreset[Country]) *
            (C24 = tblPreset[Fee_Name]) *
            (selActivityCat = tblPreset[Activity_Category]),
            0)
    ),
    IFERROR(
        INDEX(
            tblPreset[Rate_or_Amount],
            MATCH(1,
                (selCountry = tblPreset[Country]) *
                (C24 = tblPreset[Fee_Name]) *
                ("ANY" = tblPreset[Activity_Category]),
                0)
        ),
        ""
    )
)</f>
        <v/>
      </c>
      <c r="G24" s="448"/>
      <c r="H24" s="349" t="s">
        <v>378</v>
      </c>
      <c r="I24" s="422" t="str" cm="1">
        <f t="array" ref="I24">IFERROR(
    INDEX(
        tblPreset[Fee_Type],
        MATCH(1,
            (selCountry = tblPreset[Country]) *
            (C24 = tblPreset[Fee_Name]) *
            (selActivityCat = tblPreset[Activity_Category]),
            0)
    ),
    IFERROR(
        INDEX(
            tblPreset[Fee_Type],
            MATCH(1,
                (selCountry = tblPreset[Country]) *
                (C24 = tblPreset[Fee_Name]) *
                ("ANY" = tblPreset[Activity_Category]),
                0)
        ),
        ""
    )
)</f>
        <v/>
      </c>
      <c r="J24" s="449" t="s">
        <v>454</v>
      </c>
      <c r="K24" s="449" t="s">
        <v>455</v>
      </c>
      <c r="L24" s="422" t="str" cm="1">
        <f t="array" ref="L24">IFERROR(
    INDEX(
        tblPreset[Unit],
        MATCH(1,
            (selCountry = tblPreset[Country]) *
            (C24 = tblPreset[Fee_Name]) *
            (selActivityCat = tblPreset[Activity_Category]),
            0)
    ),
    IFERROR(
        INDEX(
            tblPreset[Unit],
            MATCH(1,
                (selCountry = tblPreset[Country]) *
                (C24 = tblPreset[Fee_Name]) *
                ("ANY" = tblPreset[Activity_Category]),
                0)
        ),
        ""
    )
)</f>
        <v/>
      </c>
      <c r="M24" s="449" t="s">
        <v>456</v>
      </c>
      <c r="N24" s="450" t="str" cm="1">
        <f t="array" aca="1" ref="N24" ca="1">IF(H24="Yes",
   IF(authorized_credits&lt;&gt;0,
      _xlfn.LET(
         _xlpm.source_val,
            IF(gov_source="Preset data", F24,
               IF(gov_source="User input", G24, "")
            ),
         IF(_xlpm.source_val="","",
            _xlfn.SWITCH(
               IF(gov_source="Preset data", I24,
                  IF(gov_source="User input", J24, "")
               ),
               "Fixed",        _xlpm.source_val,
               "Per_Unit",     _xlpm.source_val*
                  INDIRECT(IF(gov_source="Preset data", P24,
                              IF(gov_source="User input", K24, "")
                  )),
               "In_Kind_Pct",
                  INDIRECT(IF(gov_source="Preset data", P24,
                              IF(gov_source="User input", K24, "")
                  )),
               "Percentage",   _xlpm.source_val*
                  INDIRECT(IF(gov_source="Preset data", P24,
                              IF(gov_source="User input", K24, "")
                  )),
               ""
            )
         )
      ),
      0
   ),
   ""
)</f>
        <v/>
      </c>
      <c r="O24" s="450">
        <f t="shared" ca="1" si="0"/>
        <v>0</v>
      </c>
      <c r="P24" s="295" t="str" cm="1">
        <f t="array" ref="P24">IFERROR(
    INDEX(
        tblPreset[Applies_To],
        MATCH(1,
            (selCountry = tblPreset[Country]) *
            (C24 = tblPreset[Fee_Name]) *
            (selActivityCat = tblPreset[Activity_Category]),
            0)
    ),
    IFERROR(
        INDEX(
            tblPreset[Applies_To],
            MATCH(1,
                (selCountry = tblPreset[Country]) *
                (C24 = tblPreset[Fee_Name]) *
                ("ANY" = tblPreset[Activity_Category]),
                0)
        ),
        ""
    )
)</f>
        <v/>
      </c>
      <c r="Q24" s="451">
        <f t="shared" ca="1" si="1"/>
        <v>0</v>
      </c>
      <c r="R24" s="425" t="str" cm="1">
        <f t="array" ref="R24">IFERROR(
    INDEX(
        tblPreset[Notes],
        MATCH(1,
            (selCountry = tblPreset[Country]) *
            (C24 = tblPreset[Fee_Name]) *
            (selActivityCat = tblPreset[Activity_Category]),
            0)
    ),
    IFERROR(
        INDEX(
            tblPreset[Notes],
            MATCH(1,
                (selCountry = tblPreset[Country]) *
                (C24 = tblPreset[Fee_Name]) *
                ("ANY" = tblPreset[Activity_Category]),
                0)
        ),
        ""
    )
)</f>
        <v/>
      </c>
      <c r="S24" s="407"/>
      <c r="T24" s="407"/>
      <c r="U24" s="407"/>
      <c r="V24" s="407"/>
      <c r="W24" s="407"/>
      <c r="X24" s="360"/>
      <c r="Y24" s="360"/>
    </row>
    <row r="25" spans="2:25" hidden="1" x14ac:dyDescent="0.2">
      <c r="B25" s="413"/>
      <c r="C25" s="419"/>
      <c r="D25" s="420"/>
      <c r="E25" s="423"/>
      <c r="F25" s="421" t="str" cm="1">
        <f t="array" ref="F25">IFERROR(
    INDEX(
        tblPreset[Rate_or_Amount],
        MATCH(1,
            (selCountry = tblPreset[Country]) *
            (C25 = tblPreset[Fee_Name]) *
            (selActivityCat = tblPreset[Activity_Category]),
            0)
    ),
    IFERROR(
        INDEX(
            tblPreset[Rate_or_Amount],
            MATCH(1,
                (selCountry = tblPreset[Country]) *
                (C25 = tblPreset[Fee_Name]) *
                ("ANY" = tblPreset[Activity_Category]),
                0)
        ),
        ""
    )
)</f>
        <v/>
      </c>
      <c r="G25" s="452"/>
      <c r="H25" s="294" t="s">
        <v>378</v>
      </c>
      <c r="I25" s="422" t="str" cm="1">
        <f t="array" ref="I25">IFERROR(
    INDEX(
        tblPreset[Fee_Type],
        MATCH(1,
            (selCountry = tblPreset[Country]) *
            (C25 = tblPreset[Fee_Name]) *
            (selActivityCat = tblPreset[Activity_Category]),
            0)
    ),
    IFERROR(
        INDEX(
            tblPreset[Fee_Type],
            MATCH(1,
                (selCountry = tblPreset[Country]) *
                (C25 = tblPreset[Fee_Name]) *
                ("ANY" = tblPreset[Activity_Category]),
                0)
        ),
        ""
    )
)</f>
        <v/>
      </c>
      <c r="J25" s="422"/>
      <c r="K25" s="422"/>
      <c r="L25" s="422" t="str" cm="1">
        <f t="array" ref="L25">IFERROR(
    INDEX(
        tblPreset[Unit],
        MATCH(1,
            (selCountry = tblPreset[Country]) *
            (C25 = tblPreset[Fee_Name]) *
            (selActivityCat = tblPreset[Activity_Category]),
            0)
    ),
    IFERROR(
        INDEX(
            tblPreset[Unit],
            MATCH(1,
                (selCountry = tblPreset[Country]) *
                (C25 = tblPreset[Fee_Name]) *
                ("ANY" = tblPreset[Activity_Category]),
                0)
        ),
        ""
    )
)</f>
        <v/>
      </c>
      <c r="M25" s="422"/>
      <c r="N25" s="423" t="str" cm="1">
        <f t="array" aca="1" ref="N25" ca="1">IF(H25="Yes",IF(authorized_credits&lt;&gt;0,_xlfn.LET(
    _xlpm.source_val, IF(gov_source="Preset data", F25, IF(gov_source="User input", G25, "")),
    IF(_xlpm.source_val="", "",
       _xlfn.SWITCH(I25,
           "Fixed", _xlpm.source_val,
           "Per_Unit", _xlpm.source_val*INDIRECT(P25),
           "In_Kind_Pct", INDIRECT(P25),
           "Percentage", _xlpm.source_val*INDIRECT(P25),
           ""
       )
    )
),0),"")</f>
        <v/>
      </c>
      <c r="O25" s="423" t="str">
        <f ca="1">IF(L25&lt;&gt;"In kind",IF(N25&lt;&gt;"",IF(ISNUMBER(SEARCH("USD", L25)), N25, N25 * to_usd),""),N25)</f>
        <v/>
      </c>
      <c r="P25" s="290" t="str" cm="1">
        <f t="array" ref="P25">IFERROR(
    INDEX(
        tblPreset[Applies_To],
        MATCH(1,
            (selCountry = tblPreset[Country]) *
            (C25 = tblPreset[Fee_Name]) *
            (selActivityCat = tblPreset[Activity_Category]),
            0)
    ),
    IFERROR(
        INDEX(
            tblPreset[Applies_To],
            MATCH(1,
                (selCountry = tblPreset[Country]) *
                (C25 = tblPreset[Fee_Name]) *
                ("ANY" = tblPreset[Activity_Category]),
                0)
        ),
        ""
    )
)</f>
        <v/>
      </c>
      <c r="Q25" s="424" t="str">
        <f t="shared" ca="1" si="1"/>
        <v/>
      </c>
      <c r="R25" s="425" t="str" cm="1">
        <f t="array" ref="R25">IFERROR(
    INDEX(
        tblPreset[Notes],
        MATCH(1,
            (selCountry = tblPreset[Country]) *
            (C25 = tblPreset[Fee_Name]) *
            (selActivityCat = tblPreset[Activity_Category]),
            0)
    ),
    IFERROR(
        INDEX(
            tblPreset[Notes],
            MATCH(1,
                (selCountry = tblPreset[Country]) *
                (C25 = tblPreset[Fee_Name]) *
                ("ANY" = tblPreset[Activity_Category]),
                0)
        ),
        ""
    )
)</f>
        <v/>
      </c>
      <c r="S25" s="407"/>
      <c r="T25" s="407"/>
      <c r="U25" s="407"/>
      <c r="V25" s="407"/>
      <c r="W25" s="407"/>
      <c r="X25" s="360"/>
      <c r="Y25" s="360"/>
    </row>
    <row r="26" spans="2:25" ht="17" thickBot="1" x14ac:dyDescent="0.25">
      <c r="B26" s="415"/>
      <c r="C26" s="416"/>
      <c r="D26" s="453"/>
      <c r="E26" s="394"/>
      <c r="F26" s="392" t="str" cm="1">
        <f t="array" ref="F26">IFERROR(
    INDEX(
        tblPreset[Rate_or_Amount],
        MATCH(1,
            (selCountry = tblPreset[Country]) *
            (C26 = tblPreset[Fee_Name]) *
            (selActivityCat = tblPreset[Activity_Category]),
            0)
    ),
    IFERROR(
        INDEX(
            tblPreset[Rate_or_Amount],
            MATCH(1,
                (selCountry = tblPreset[Country]) *
                (C26 = tblPreset[Fee_Name]) *
                ("ANY" = tblPreset[Activity_Category]),
                0)
        ),
        ""
    )
)</f>
        <v/>
      </c>
      <c r="G26" s="454"/>
      <c r="H26" s="296"/>
      <c r="I26" s="393" t="str" cm="1">
        <f t="array" ref="I26">IFERROR(
    INDEX(
        tblPreset[Fee_Type],
        MATCH(1,
            (selCountry = tblPreset[Country]) *
            (C26 = tblPreset[Fee_Name]) *
            (selActivityCat = tblPreset[Activity_Category]),
            0)
    ),
    IFERROR(
        INDEX(
            tblPreset[Fee_Type],
            MATCH(1,
                (selCountry = tblPreset[Country]) *
                (C26 = tblPreset[Fee_Name]) *
                ("ANY" = tblPreset[Activity_Category]),
                0)
        ),
        ""
    )
)</f>
        <v/>
      </c>
      <c r="J26" s="393"/>
      <c r="K26" s="393"/>
      <c r="L26" s="393" t="str" cm="1">
        <f t="array" ref="L26">IFERROR(
    INDEX(
        tblPreset[Unit],
        MATCH(1,
            (selCountry = tblPreset[Country]) *
            (C26 = tblPreset[Fee_Name]) *
            (selActivityCat = tblPreset[Activity_Category]),
            0)
    ),
    IFERROR(
        INDEX(
            tblPreset[Unit],
            MATCH(1,
                (selCountry = tblPreset[Country]) *
                (C26 = tblPreset[Fee_Name]) *
                ("ANY" = tblPreset[Activity_Category]),
                0)
        ),
        ""
    )
)</f>
        <v/>
      </c>
      <c r="M26" s="393"/>
      <c r="N26" s="394"/>
      <c r="O26" s="394" t="str">
        <f>IF(L26&lt;&gt;"In kind",IF(N26&lt;&gt;"",IF(ISNUMBER(SEARCH("USD", L26)), N26, N26 * to_usd),""),N26)</f>
        <v/>
      </c>
      <c r="P26" s="288" t="str" cm="1">
        <f t="array" ref="P26">IFERROR(
    INDEX(
        tblPreset[Applies_To],
        MATCH(1,
            (selCountry = tblPreset[Country]) *
            (C26 = tblPreset[Fee_Name]) *
            (selActivityCat = tblPreset[Activity_Category]),
            0)
    ),
    IFERROR(
        INDEX(
            tblPreset[Applies_To],
            MATCH(1,
                (selCountry = tblPreset[Country]) *
                (C26 = tblPreset[Fee_Name]) *
                ("ANY" = tblPreset[Activity_Category]),
                0)
        ),
        ""
    )
)</f>
        <v/>
      </c>
      <c r="Q26" s="396" t="str">
        <f>IFERROR(IF(H26="Yes",O26-E26,""),"")</f>
        <v/>
      </c>
      <c r="R26" s="417" t="str" cm="1">
        <f t="array" ref="R26">IFERROR(
    INDEX(
        tblPreset[Notes],
        MATCH(1,
            (selCountry = tblPreset[Country]) *
            (C26 = tblPreset[Fee_Name]) *
            (selActivityCat = tblPreset[Activity_Category]),
            0)
    ),
    IFERROR(
        INDEX(
            tblPreset[Notes],
            MATCH(1,
                (selCountry = tblPreset[Country]) *
                (C26 = tblPreset[Fee_Name]) *
                ("ANY" = tblPreset[Activity_Category]),
                0)
        ),
        ""
    )
)</f>
        <v/>
      </c>
      <c r="S26" s="407"/>
      <c r="T26" s="407"/>
      <c r="U26" s="407"/>
      <c r="V26" s="407"/>
      <c r="W26" s="407"/>
      <c r="X26" s="360"/>
      <c r="Y26" s="360"/>
    </row>
    <row r="27" spans="2:25" ht="17" thickBot="1" x14ac:dyDescent="0.25">
      <c r="B27" s="407"/>
      <c r="C27" s="419"/>
      <c r="D27" s="420"/>
      <c r="E27" s="423"/>
      <c r="F27" s="455"/>
      <c r="G27" s="452"/>
      <c r="H27" s="294"/>
      <c r="I27" s="422"/>
      <c r="J27" s="422"/>
      <c r="K27" s="422"/>
      <c r="L27" s="422"/>
      <c r="M27" s="422"/>
      <c r="N27" s="456"/>
      <c r="O27" s="423"/>
      <c r="P27" s="290"/>
      <c r="Q27" s="424"/>
      <c r="R27" s="420"/>
      <c r="S27" s="407"/>
      <c r="T27" s="407"/>
      <c r="U27" s="407"/>
      <c r="V27" s="407"/>
      <c r="W27" s="407"/>
      <c r="X27" s="360"/>
      <c r="Y27" s="360"/>
    </row>
    <row r="28" spans="2:25" ht="32.25" customHeight="1" thickBot="1" x14ac:dyDescent="0.2">
      <c r="B28" s="72"/>
      <c r="C28" s="73" t="s">
        <v>462</v>
      </c>
      <c r="D28" s="656" t="str">
        <f>IF(selCountry="Test country",_xlfn._LONGTEXT("Countries like Ghana and Kenya charge listing fees that are applied per unit of non-authorized credit. Other countries like Zimbabwe have a renewal of registration certificate fee, which is applied as a percentage of the total number of non-authorized cre","dits."),"")</f>
        <v/>
      </c>
      <c r="E28" s="656"/>
      <c r="F28" s="656"/>
      <c r="G28" s="656"/>
      <c r="H28" s="656"/>
      <c r="I28" s="656"/>
      <c r="J28" s="656"/>
      <c r="K28" s="656"/>
      <c r="L28" s="656"/>
      <c r="M28" s="656"/>
      <c r="N28" s="656"/>
      <c r="O28" s="656"/>
      <c r="P28" s="656"/>
      <c r="Q28" s="656"/>
      <c r="R28" s="39"/>
      <c r="S28" s="407"/>
      <c r="T28" s="407"/>
      <c r="U28" s="407"/>
      <c r="V28" s="407"/>
      <c r="W28" s="407"/>
      <c r="X28" s="363" t="s">
        <v>463</v>
      </c>
      <c r="Y28" s="363" t="s">
        <v>735</v>
      </c>
    </row>
    <row r="29" spans="2:25" x14ac:dyDescent="0.15">
      <c r="B29" s="413"/>
      <c r="C29" s="405"/>
      <c r="D29" s="74"/>
      <c r="E29" s="29"/>
      <c r="F29" s="75"/>
      <c r="G29" s="76"/>
      <c r="H29" s="422"/>
      <c r="I29" s="422" t="str" cm="1">
        <f t="array" ref="I29">IFERROR(
    INDEX(
        tblPreset[Fee_Type],
        MATCH(1,
            (selCountry = tblPreset[Country]) *
            (C28 = tblPreset[Fee_Name]) *
            (selActivityCat = tblPreset[Activity_Category]),
            0)
    ),
    IFERROR(
        INDEX(
            tblPreset[Fee_Type],
            MATCH(1,
                (selCountry = tblPreset[Country]) *
                (C28 = tblPreset[Fee_Name]) *
                ("ANY" = tblPreset[Activity_Category]),
                0)
        ),
        ""
    )
)</f>
        <v/>
      </c>
      <c r="J29" s="422"/>
      <c r="K29" s="422"/>
      <c r="L29" s="422" t="str" cm="1">
        <f t="array" ref="L29">IFERROR(
    INDEX(
        tblPreset[Unit],
        MATCH(1,
            (selCountry = tblPreset[Country]) *
            (C28 = tblPreset[Fee_Name]) *
            (selActivityCat = tblPreset[Activity_Category]),
            0)
    ),
    IFERROR(
        INDEX(
            tblPreset[Unit],
            MATCH(1,
                (selCountry = tblPreset[Country]) *
                (C28 = tblPreset[Fee_Name]) *
                ("ANY" = tblPreset[Activity_Category]),
                0)
        ),
        ""
    )
)</f>
        <v/>
      </c>
      <c r="M29" s="422"/>
      <c r="N29" s="423"/>
      <c r="O29" s="423" t="str">
        <f>IF(L29&lt;&gt;"In kind",IF(N29&lt;&gt;"",IF(ISNUMBER(SEARCH("USD", L29)), N29, N29 * to_usd),""),N29)</f>
        <v/>
      </c>
      <c r="P29" s="290" t="str" cm="1">
        <f t="array" ref="P29">IFERROR(
    INDEX(
        tblPreset[Applies_To],
        MATCH(1,
            (selCountry = tblPreset[Country]) *
            (C28 = tblPreset[Fee_Name]) *
            (selActivityCat = tblPreset[Activity_Category]),
            0)
    ),
    IFERROR(
        INDEX(
            tblPreset[Applies_To],
            MATCH(1,
                (selCountry = tblPreset[Country]) *
                (C28 = tblPreset[Fee_Name]) *
                ("ANY" = tblPreset[Activity_Category]),
                0)
        ),
        ""
    )
)</f>
        <v/>
      </c>
      <c r="Q29" s="424" t="str">
        <f>IFERROR(IF(H29="Yes",O29-E29,""),"")</f>
        <v/>
      </c>
      <c r="R29" s="425" t="str" cm="1">
        <f t="array" ref="R29">IFERROR(
    INDEX(
        tblPreset[Notes],
        MATCH(1,
            (selCountry = tblPreset[Country]) *
            (C28 = tblPreset[Fee_Name]) *
            (selActivityCat = tblPreset[Activity_Category]),
            0)
    ),
    IFERROR(
        INDEX(
            tblPreset[Notes],
            MATCH(1,
                (selCountry = tblPreset[Country]) *
                (C28 = tblPreset[Fee_Name]) *
                ("ANY" = tblPreset[Activity_Category]),
                0)
        ),
        ""
    )
)</f>
        <v/>
      </c>
      <c r="S29" s="407"/>
      <c r="T29" s="407"/>
      <c r="U29" s="407"/>
      <c r="V29" s="407"/>
      <c r="W29" s="407"/>
      <c r="X29" s="363"/>
      <c r="Y29" s="363"/>
    </row>
    <row r="30" spans="2:25" ht="31" thickBot="1" x14ac:dyDescent="0.2">
      <c r="B30" s="413"/>
      <c r="C30" s="79" t="s">
        <v>436</v>
      </c>
      <c r="D30" s="68" t="s">
        <v>437</v>
      </c>
      <c r="E30" s="27" t="s">
        <v>438</v>
      </c>
      <c r="F30" s="69" t="s">
        <v>439</v>
      </c>
      <c r="G30" s="70" t="s">
        <v>440</v>
      </c>
      <c r="H30" s="70" t="s">
        <v>441</v>
      </c>
      <c r="I30" s="70" t="s">
        <v>442</v>
      </c>
      <c r="J30" s="70" t="s">
        <v>443</v>
      </c>
      <c r="K30" s="70" t="s">
        <v>449</v>
      </c>
      <c r="L30" s="70" t="s">
        <v>445</v>
      </c>
      <c r="M30" s="70" t="s">
        <v>446</v>
      </c>
      <c r="N30" s="27" t="s">
        <v>447</v>
      </c>
      <c r="O30" s="27" t="s">
        <v>448</v>
      </c>
      <c r="P30" s="70" t="s">
        <v>449</v>
      </c>
      <c r="Q30" s="27" t="s">
        <v>799</v>
      </c>
      <c r="R30" s="40" t="s">
        <v>450</v>
      </c>
      <c r="S30" s="407"/>
      <c r="T30" s="407"/>
      <c r="U30" s="407"/>
      <c r="V30" s="407"/>
      <c r="W30" s="407"/>
      <c r="X30" s="383" t="s">
        <v>464</v>
      </c>
      <c r="Y30" s="383" t="s">
        <v>736</v>
      </c>
    </row>
    <row r="31" spans="2:25" x14ac:dyDescent="0.15">
      <c r="B31" s="413"/>
      <c r="C31" s="426" t="str" cm="1">
        <f t="array" ref="C31">IFERROR(
    _xlfn._xlws.SORT(
        _xlfn.UNIQUE(
            _xlfn._xlws.FILTER(
                tblPreset[Fee_Name],
                _xlfn.LET(
                    _xlpm.sectorCondition, IF(selCountry = "Test country",
                                        tblPreset[Sector] = selProjectType,
                                        tblPreset[Sector] = '4.Inputs'!D8),
                    _xlpm.sSector, _xlpm.sectorCondition + (tblPreset[Sector] = "ANY"),
                    _xlpm.sCountry, (tblPreset[Country] = selCountry),        _xlpm.sFeeGroup, (tblPreset[Fee_Group] = "Registry Fee"),
                    _xlpm.sActivity, (tblPreset[Activity_Category] = selActivityCat) + (tblPreset[Activity_Category] = "ANY"),
                    _xlpm.sPathway, (tblPreset[Pathway] = "No-authorization") + (tblPreset[Pathway] = "ANY"),
                    _xlpm.sSector * _xlpm.sCountry * _xlpm.sFeeGroup * _xlpm.sActivity * _xlpm.sPathway
                )
            )
        )
    ),
"")</f>
        <v>Listing fee (VCM)</v>
      </c>
      <c r="D31" s="427"/>
      <c r="E31" s="457"/>
      <c r="F31" s="429" cm="1">
        <f t="array" ref="F31">IFERROR(
    INDEX(
        tblPreset[Rate_or_Amount],
        MATCH(1,
            (selCountry = tblPreset[Country]) *
            (C31 = tblPreset[Fee_Name]) *
            (selActivityCat = tblPreset[Activity_Category]),
            0)
    ),
    IFERROR(
        INDEX(
            tblPreset[Rate_or_Amount],
            MATCH(1,
                (selCountry = tblPreset[Country]) *
                (C31 = tblPreset[Fee_Name]) *
                ("ANY" = tblPreset[Activity_Category]),
                0)
        ),
        ""
    )
)</f>
        <v>0.01</v>
      </c>
      <c r="G31" s="429">
        <v>40</v>
      </c>
      <c r="H31" s="347" t="s">
        <v>378</v>
      </c>
      <c r="I31" s="430" t="str" cm="1">
        <f t="array" ref="I31">IFERROR(
    INDEX(
        tblPreset[Fee_Type],
        MATCH(1,
            (selCountry = tblPreset[Country]) *
            (C31 = tblPreset[Fee_Name]) *
            (selActivityCat = tblPreset[Activity_Category]),
            0)
    ),
    IFERROR(
        INDEX(
            tblPreset[Fee_Type],
            MATCH(1,
                (selCountry = tblPreset[Country]) *
                (C31 = tblPreset[Fee_Name]) *
                ("ANY" = tblPreset[Activity_Category]),
                0)
        ),
        ""
    )
)</f>
        <v>Per_Unit</v>
      </c>
      <c r="J31" s="431" t="s">
        <v>454</v>
      </c>
      <c r="K31" s="432" t="s">
        <v>461</v>
      </c>
      <c r="L31" s="430" t="str" cm="1">
        <f t="array" ref="L31">IFERROR(
    INDEX(
        tblPreset[Unit],
        MATCH(1,
            (selCountry = tblPreset[Country]) *
            (C31 = tblPreset[Fee_Name]) *
            (selActivityCat = tblPreset[Activity_Category]),
            0)
    ),
    IFERROR(
        INDEX(
            tblPreset[Unit],
            MATCH(1,
                (selCountry = tblPreset[Country]) *
                (C31 = tblPreset[Fee_Name]) *
                ("ANY" = tblPreset[Activity_Category]),
                0)
        ),
        ""
    )
)</f>
        <v>USD</v>
      </c>
      <c r="M31" s="431" t="s">
        <v>456</v>
      </c>
      <c r="N31" s="433" cm="1">
        <f t="array" aca="1" ref="N31" ca="1">IF(H31="Yes",
   IF(authorized_credits&lt;&gt;0,
      _xlfn.LET(
         _xlpm.source_val,
            IF(gov_source="Preset data", F31,
               IF(gov_source="User input", G31, "")
            ),
         IF(_xlpm.source_val="","",
            _xlfn.SWITCH(
               IF(gov_source="Preset data", I31,
                  IF(gov_source="User input", J31, "")
               ),
               "Fixed",        _xlpm.source_val,
               "Per_Unit",     _xlpm.source_val*
                  INDIRECT(IF(gov_source="Preset data", P31,
                              IF(gov_source="User input", K31, "")
                  )),
               "In_Kind_Pct",
                  INDIRECT(IF(gov_source="Preset data", P31,
                              IF(gov_source="User input", K31, "")
                  )),
               "Percentage",   _xlpm.source_val*
                  INDIRECT(IF(gov_source="Preset data", P31,
                              IF(gov_source="User input", K31, "")
                  )),
               ""
            )
         )
      ),
      0
   ),
   ""
)</f>
        <v>1470</v>
      </c>
      <c r="O31" s="458">
        <f t="shared" ref="O31:O36" ca="1" si="2">IFERROR(IF(
N31,
IF(gov_source="User input",
IF(L31&lt;&gt;"In kind",
IF(N31&lt;&gt;"",
IF(ISNUMBER(SEARCH("USD",M31)),
N31,
N31*to_usd
),
""
),
N31
),
IF(L31&lt;&gt;"In kind",
IF(N31&lt;&gt;"",
IF(ISNUMBER(SEARCH("USD",L31)),
N31,
N31*to_usd
),
""
),
N31
)
)),0)</f>
        <v>1470</v>
      </c>
      <c r="P31" s="297" t="str" cm="1">
        <f t="array" ref="P31">IFERROR(
    INDEX(
        tblPreset[Applies_To],
        MATCH(1,
            (selCountry = tblPreset[Country]) *
            (C31 = tblPreset[Fee_Name]) *
            (selActivityCat = tblPreset[Activity_Category]),
            0)
    ),
    IFERROR(
        INDEX(
            tblPreset[Applies_To],
            MATCH(1,
                (selCountry = tblPreset[Country]) *
                (C31 = tblPreset[Fee_Name]) *
                ("ANY" = tblPreset[Activity_Category]),
                0)
        ),
        ""
    )
)</f>
        <v>non_authorized_credits</v>
      </c>
      <c r="Q31" s="458">
        <f t="shared" ref="Q31:Q39" ca="1" si="3">IFERROR(IF(H31="Yes",O31-E31,""),"")</f>
        <v>1470</v>
      </c>
      <c r="R31" s="435" t="str" cm="1">
        <f t="array" ref="R31">IFERROR(
    INDEX(
        tblPreset[Notes],
        MATCH(1,
            (selCountry = tblPreset[Country]) *
            (C31 = tblPreset[Fee_Name]) *
            (selActivityCat = tblPreset[Activity_Category]),
            0)
    ),
    IFERROR(
        INDEX(
            tblPreset[Notes],
            MATCH(1,
                (selCountry = tblPreset[Country]) *
                (C31 = tblPreset[Fee_Name]) *
                ("ANY" = tblPreset[Activity_Category]),
                0)
        ),
        ""
    )
)</f>
        <v>Registry services for VCM activities</v>
      </c>
      <c r="S31" s="407"/>
      <c r="T31" s="407"/>
      <c r="U31" s="407"/>
      <c r="V31" s="407"/>
      <c r="W31" s="407"/>
      <c r="X31" s="44"/>
      <c r="Y31" s="44"/>
    </row>
    <row r="32" spans="2:25" hidden="1" x14ac:dyDescent="0.2">
      <c r="B32" s="413"/>
      <c r="C32" s="419"/>
      <c r="D32" s="446"/>
      <c r="E32" s="447"/>
      <c r="F32" s="448" t="str" cm="1">
        <f t="array" ref="F32">IFERROR(
    INDEX(
        tblPreset[Rate_or_Amount],
        MATCH(1,
            (selCountry = tblPreset[Country]) *
            (C32 = tblPreset[Fee_Name]) *
            (selActivityCat = tblPreset[Activity_Category]),
            0)
    ),
    IFERROR(
        INDEX(
            tblPreset[Rate_or_Amount],
            MATCH(1,
                (selCountry = tblPreset[Country]) *
                (C32 = tblPreset[Fee_Name]) *
                ("ANY" = tblPreset[Activity_Category]),
                0)
        ),
        ""
    )
)</f>
        <v/>
      </c>
      <c r="G32" s="448"/>
      <c r="H32" s="349" t="s">
        <v>378</v>
      </c>
      <c r="I32" s="422" t="str" cm="1">
        <f t="array" ref="I32">IFERROR(
    INDEX(
        tblPreset[Fee_Type],
        MATCH(1,
            (selCountry = tblPreset[Country]) *
            (C32 = tblPreset[Fee_Name]) *
            (selActivityCat = tblPreset[Activity_Category]),
            0)
    ),
    IFERROR(
        INDEX(
            tblPreset[Fee_Type],
            MATCH(1,
                (selCountry = tblPreset[Country]) *
                (C32 = tblPreset[Fee_Name]) *
                ("ANY" = tblPreset[Activity_Category]),
                0)
        ),
        ""
    )
)</f>
        <v/>
      </c>
      <c r="J32" s="449" t="s">
        <v>454</v>
      </c>
      <c r="K32" s="459" t="s">
        <v>461</v>
      </c>
      <c r="L32" s="422" t="str" cm="1">
        <f t="array" ref="L32">IFERROR(
    INDEX(
        tblPreset[Unit],
        MATCH(1,
            (selCountry = tblPreset[Country]) *
            (C32 = tblPreset[Fee_Name]) *
            (selActivityCat = tblPreset[Activity_Category]),
            0)
    ),
    IFERROR(
        INDEX(
            tblPreset[Unit],
            MATCH(1,
                (selCountry = tblPreset[Country]) *
                (C32 = tblPreset[Fee_Name]) *
                ("ANY" = tblPreset[Activity_Category]),
                0)
        ),
        ""
    )
)</f>
        <v/>
      </c>
      <c r="M32" s="449" t="s">
        <v>456</v>
      </c>
      <c r="N32" s="450" t="str" cm="1">
        <f t="array" aca="1" ref="N32" ca="1">IF(H32="Yes",
   IF(authorized_credits&lt;&gt;0,
      _xlfn.LET(
         _xlpm.source_val,
            IF(gov_source="Preset data", F32,
               IF(gov_source="User input", G32, "")
            ),
         IF(_xlpm.source_val="","",
            _xlfn.SWITCH(
               IF(gov_source="Preset data", I32,
                  IF(gov_source="User input", J32, "")
               ),
               "Fixed",        _xlpm.source_val,
               "Per_Unit",     _xlpm.source_val*
                  INDIRECT(IF(gov_source="Preset data", P32,
                              IF(gov_source="User input", K32, "")
                  )),
               "In_Kind_Pct",
                  INDIRECT(IF(gov_source="Preset data", P32,
                              IF(gov_source="User input", K32, "")
                  )),
               "Percentage",   _xlpm.source_val*
                  INDIRECT(IF(gov_source="Preset data", P32,
                              IF(gov_source="User input", K32, "")
                  )),
               ""
            )
         )
      ),
      0
   ),
   ""
)</f>
        <v/>
      </c>
      <c r="O32" s="450">
        <f t="shared" ca="1" si="2"/>
        <v>0</v>
      </c>
      <c r="P32" s="295" t="str" cm="1">
        <f t="array" ref="P32">IFERROR(
    INDEX(
        tblPreset[Applies_To],
        MATCH(1,
            (selCountry = tblPreset[Country]) *
            (C32 = tblPreset[Fee_Name]) *
            (selActivityCat = tblPreset[Activity_Category]),
            0)
    ),
    IFERROR(
        INDEX(
            tblPreset[Applies_To],
            MATCH(1,
                (selCountry = tblPreset[Country]) *
                (C32 = tblPreset[Fee_Name]) *
                ("ANY" = tblPreset[Activity_Category]),
                0)
        ),
        ""
    )
)</f>
        <v/>
      </c>
      <c r="Q32" s="450">
        <f t="shared" ca="1" si="3"/>
        <v>0</v>
      </c>
      <c r="R32" s="425" t="str" cm="1">
        <f t="array" ref="R32">IFERROR(
    INDEX(
        tblPreset[Notes],
        MATCH(1,
            (selCountry = tblPreset[Country]) *
            (C32 = tblPreset[Fee_Name]) *
            (selActivityCat = tblPreset[Activity_Category]),
            0)
    ),
    IFERROR(
        INDEX(
            tblPreset[Notes],
            MATCH(1,
                (selCountry = tblPreset[Country]) *
                (C32 = tblPreset[Fee_Name]) *
                ("ANY" = tblPreset[Activity_Category]),
                0)
        ),
        ""
    )
)</f>
        <v/>
      </c>
      <c r="S32" s="407"/>
      <c r="T32" s="407"/>
      <c r="U32" s="407"/>
      <c r="V32" s="407"/>
      <c r="W32" s="407"/>
      <c r="X32" s="360"/>
      <c r="Y32" s="360"/>
    </row>
    <row r="33" spans="2:25" hidden="1" x14ac:dyDescent="0.2">
      <c r="B33" s="413"/>
      <c r="C33" s="419"/>
      <c r="D33" s="446"/>
      <c r="E33" s="447"/>
      <c r="F33" s="448" t="str" cm="1">
        <f t="array" ref="F33">IFERROR(
    INDEX(
        tblPreset[Rate_or_Amount],
        MATCH(1,
            (selCountry = tblPreset[Country]) *
            (C33 = tblPreset[Fee_Name]) *
            (selActivityCat = tblPreset[Activity_Category]),
            0)
    ),
    IFERROR(
        INDEX(
            tblPreset[Rate_or_Amount],
            MATCH(1,
                (selCountry = tblPreset[Country]) *
                (C33 = tblPreset[Fee_Name]) *
                ("ANY" = tblPreset[Activity_Category]),
                0)
        ),
        ""
    )
)</f>
        <v/>
      </c>
      <c r="G33" s="448"/>
      <c r="H33" s="349" t="s">
        <v>378</v>
      </c>
      <c r="I33" s="422" t="str" cm="1">
        <f t="array" ref="I33">IFERROR(
    INDEX(
        tblPreset[Fee_Type],
        MATCH(1,
            (selCountry = tblPreset[Country]) *
            (C33 = tblPreset[Fee_Name]) *
            (selActivityCat = tblPreset[Activity_Category]),
            0)
    ),
    IFERROR(
        INDEX(
            tblPreset[Fee_Type],
            MATCH(1,
                (selCountry = tblPreset[Country]) *
                (C33 = tblPreset[Fee_Name]) *
                ("ANY" = tblPreset[Activity_Category]),
                0)
        ),
        ""
    )
)</f>
        <v/>
      </c>
      <c r="J33" s="449" t="s">
        <v>454</v>
      </c>
      <c r="K33" s="459" t="s">
        <v>461</v>
      </c>
      <c r="L33" s="422" t="str" cm="1">
        <f t="array" ref="L33">IFERROR(
    INDEX(
        tblPreset[Unit],
        MATCH(1,
            (selCountry = tblPreset[Country]) *
            (C33 = tblPreset[Fee_Name]) *
            (selActivityCat = tblPreset[Activity_Category]),
            0)
    ),
    IFERROR(
        INDEX(
            tblPreset[Unit],
            MATCH(1,
                (selCountry = tblPreset[Country]) *
                (C33 = tblPreset[Fee_Name]) *
                ("ANY" = tblPreset[Activity_Category]),
                0)
        ),
        ""
    )
)</f>
        <v/>
      </c>
      <c r="M33" s="449" t="s">
        <v>456</v>
      </c>
      <c r="N33" s="450" t="str" cm="1">
        <f t="array" aca="1" ref="N33" ca="1">IF(H33="Yes",
   IF(authorized_credits&lt;&gt;0,
      _xlfn.LET(
         _xlpm.source_val,
            IF(gov_source="Preset data", F33,
               IF(gov_source="User input", G33, "")
            ),
         IF(_xlpm.source_val="","",
            _xlfn.SWITCH(
               IF(gov_source="Preset data", I33,
                  IF(gov_source="User input", J33, "")
               ),
               "Fixed",        _xlpm.source_val,
               "Per_Unit",     _xlpm.source_val*
                  INDIRECT(IF(gov_source="Preset data", P33,
                              IF(gov_source="User input", K33, "")
                  )),
               "In_Kind_Pct",
                  INDIRECT(IF(gov_source="Preset data", P33,
                              IF(gov_source="User input", K33, "")
                  )),
               "Percentage",   _xlpm.source_val*
                  INDIRECT(IF(gov_source="Preset data", P33,
                              IF(gov_source="User input", K33, "")
                  )),
               ""
            )
         )
      ),
      0
   ),
   ""
)</f>
        <v/>
      </c>
      <c r="O33" s="450">
        <f t="shared" ca="1" si="2"/>
        <v>0</v>
      </c>
      <c r="P33" s="295" t="str" cm="1">
        <f t="array" ref="P33">IFERROR(
    INDEX(
        tblPreset[Applies_To],
        MATCH(1,
            (selCountry = tblPreset[Country]) *
            (C33 = tblPreset[Fee_Name]) *
            (selActivityCat = tblPreset[Activity_Category]),
            0)
    ),
    IFERROR(
        INDEX(
            tblPreset[Applies_To],
            MATCH(1,
                (selCountry = tblPreset[Country]) *
                (C33 = tblPreset[Fee_Name]) *
                ("ANY" = tblPreset[Activity_Category]),
                0)
        ),
        ""
    )
)</f>
        <v/>
      </c>
      <c r="Q33" s="450">
        <f t="shared" ca="1" si="3"/>
        <v>0</v>
      </c>
      <c r="R33" s="425" t="str" cm="1">
        <f t="array" ref="R33">IFERROR(
    INDEX(
        tblPreset[Notes],
        MATCH(1,
            (selCountry = tblPreset[Country]) *
            (C33 = tblPreset[Fee_Name]) *
            (selActivityCat = tblPreset[Activity_Category]),
            0)
    ),
    IFERROR(
        INDEX(
            tblPreset[Notes],
            MATCH(1,
                (selCountry = tblPreset[Country]) *
                (C33 = tblPreset[Fee_Name]) *
                ("ANY" = tblPreset[Activity_Category]),
                0)
        ),
        ""
    )
)</f>
        <v/>
      </c>
      <c r="S33" s="407"/>
      <c r="T33" s="407"/>
      <c r="U33" s="407"/>
      <c r="V33" s="407"/>
      <c r="W33" s="407"/>
      <c r="X33" s="360"/>
      <c r="Y33" s="360"/>
    </row>
    <row r="34" spans="2:25" hidden="1" x14ac:dyDescent="0.2">
      <c r="B34" s="413"/>
      <c r="C34" s="419"/>
      <c r="D34" s="446"/>
      <c r="E34" s="447"/>
      <c r="F34" s="448" t="str" cm="1">
        <f t="array" ref="F34">IFERROR(
    INDEX(
        tblPreset[Rate_or_Amount],
        MATCH(1,
            (selCountry = tblPreset[Country]) *
            (C34 = tblPreset[Fee_Name]) *
            (selActivityCat = tblPreset[Activity_Category]),
            0)
    ),
    IFERROR(
        INDEX(
            tblPreset[Rate_or_Amount],
            MATCH(1,
                (selCountry = tblPreset[Country]) *
                (C34 = tblPreset[Fee_Name]) *
                ("ANY" = tblPreset[Activity_Category]),
                0)
        ),
        ""
    )
)</f>
        <v/>
      </c>
      <c r="G34" s="448"/>
      <c r="H34" s="349" t="s">
        <v>378</v>
      </c>
      <c r="I34" s="422" t="str" cm="1">
        <f t="array" ref="I34">IFERROR(
    INDEX(
        tblPreset[Fee_Type],
        MATCH(1,
            (selCountry = tblPreset[Country]) *
            (C34 = tblPreset[Fee_Name]) *
            (selActivityCat = tblPreset[Activity_Category]),
            0)
    ),
    IFERROR(
        INDEX(
            tblPreset[Fee_Type],
            MATCH(1,
                (selCountry = tblPreset[Country]) *
                (C34 = tblPreset[Fee_Name]) *
                ("ANY" = tblPreset[Activity_Category]),
                0)
        ),
        ""
    )
)</f>
        <v/>
      </c>
      <c r="J34" s="449" t="s">
        <v>454</v>
      </c>
      <c r="K34" s="459" t="s">
        <v>461</v>
      </c>
      <c r="L34" s="422" t="str" cm="1">
        <f t="array" ref="L34">IFERROR(
    INDEX(
        tblPreset[Unit],
        MATCH(1,
            (selCountry = tblPreset[Country]) *
            (C34 = tblPreset[Fee_Name]) *
            (selActivityCat = tblPreset[Activity_Category]),
            0)
    ),
    IFERROR(
        INDEX(
            tblPreset[Unit],
            MATCH(1,
                (selCountry = tblPreset[Country]) *
                (C34 = tblPreset[Fee_Name]) *
                ("ANY" = tblPreset[Activity_Category]),
                0)
        ),
        ""
    )
)</f>
        <v/>
      </c>
      <c r="M34" s="449" t="s">
        <v>458</v>
      </c>
      <c r="N34" s="450" t="str" cm="1">
        <f t="array" aca="1" ref="N34" ca="1">IF(H34="Yes",
   IF(authorized_credits&lt;&gt;0,
      _xlfn.LET(
         _xlpm.source_val,
            IF(gov_source="Preset data", F34,
               IF(gov_source="User input", G34, "")
            ),
         IF(_xlpm.source_val="","",
            _xlfn.SWITCH(
               IF(gov_source="Preset data", I34,
                  IF(gov_source="User input", J34, "")
               ),
               "Fixed",        _xlpm.source_val,
               "Per_Unit",     _xlpm.source_val*
                  INDIRECT(IF(gov_source="Preset data", P34,
                              IF(gov_source="User input", K34, "")
                  )),
               "In_Kind_Pct",
                  INDIRECT(IF(gov_source="Preset data", P34,
                              IF(gov_source="User input", K34, "")
                  )),
               "Percentage",   _xlpm.source_val*
                  INDIRECT(IF(gov_source="Preset data", P34,
                              IF(gov_source="User input", K34, "")
                  )),
               ""
            )
         )
      ),
      0
   ),
   ""
)</f>
        <v/>
      </c>
      <c r="O34" s="450">
        <f t="shared" ca="1" si="2"/>
        <v>0</v>
      </c>
      <c r="P34" s="295" t="str" cm="1">
        <f t="array" ref="P34">IFERROR(
    INDEX(
        tblPreset[Applies_To],
        MATCH(1,
            (selCountry = tblPreset[Country]) *
            (C34 = tblPreset[Fee_Name]) *
            (selActivityCat = tblPreset[Activity_Category]),
            0)
    ),
    IFERROR(
        INDEX(
            tblPreset[Applies_To],
            MATCH(1,
                (selCountry = tblPreset[Country]) *
                (C34 = tblPreset[Fee_Name]) *
                ("ANY" = tblPreset[Activity_Category]),
                0)
        ),
        ""
    )
)</f>
        <v/>
      </c>
      <c r="Q34" s="450">
        <f t="shared" ca="1" si="3"/>
        <v>0</v>
      </c>
      <c r="R34" s="425" t="str" cm="1">
        <f t="array" ref="R34">IFERROR(
    INDEX(
        tblPreset[Notes],
        MATCH(1,
            (selCountry = tblPreset[Country]) *
            (C34 = tblPreset[Fee_Name]) *
            (selActivityCat = tblPreset[Activity_Category]),
            0)
    ),
    IFERROR(
        INDEX(
            tblPreset[Notes],
            MATCH(1,
                (selCountry = tblPreset[Country]) *
                (C34 = tblPreset[Fee_Name]) *
                ("ANY" = tblPreset[Activity_Category]),
                0)
        ),
        ""
    )
)</f>
        <v/>
      </c>
      <c r="S34" s="407"/>
      <c r="T34" s="407"/>
      <c r="U34" s="407"/>
      <c r="V34" s="407"/>
      <c r="W34" s="407"/>
      <c r="X34" s="360"/>
      <c r="Y34" s="360"/>
    </row>
    <row r="35" spans="2:25" hidden="1" x14ac:dyDescent="0.2">
      <c r="B35" s="413"/>
      <c r="C35" s="419"/>
      <c r="D35" s="446"/>
      <c r="E35" s="447"/>
      <c r="F35" s="448" t="str" cm="1">
        <f t="array" ref="F35">IFERROR(
    INDEX(
        tblPreset[Rate_or_Amount],
        MATCH(1,
            (selCountry = tblPreset[Country]) *
            (C35 = tblPreset[Fee_Name]) *
            (selActivityCat = tblPreset[Activity_Category]),
            0)
    ),
    IFERROR(
        INDEX(
            tblPreset[Rate_or_Amount],
            MATCH(1,
                (selCountry = tblPreset[Country]) *
                (C35 = tblPreset[Fee_Name]) *
                ("ANY" = tblPreset[Activity_Category]),
                0)
        ),
        ""
    )
)</f>
        <v/>
      </c>
      <c r="G35" s="448"/>
      <c r="H35" s="349" t="s">
        <v>378</v>
      </c>
      <c r="I35" s="422" t="str" cm="1">
        <f t="array" ref="I35">IFERROR(
    INDEX(
        tblPreset[Fee_Type],
        MATCH(1,
            (selCountry = tblPreset[Country]) *
            (C35 = tblPreset[Fee_Name]) *
            (selActivityCat = tblPreset[Activity_Category]),
            0)
    ),
    IFERROR(
        INDEX(
            tblPreset[Fee_Type],
            MATCH(1,
                (selCountry = tblPreset[Country]) *
                (C35 = tblPreset[Fee_Name]) *
                ("ANY" = tblPreset[Activity_Category]),
                0)
        ),
        ""
    )
)</f>
        <v/>
      </c>
      <c r="J35" s="449" t="s">
        <v>454</v>
      </c>
      <c r="K35" s="459" t="s">
        <v>461</v>
      </c>
      <c r="L35" s="422" t="str" cm="1">
        <f t="array" ref="L35">IFERROR(
    INDEX(
        tblPreset[Unit],
        MATCH(1,
            (selCountry = tblPreset[Country]) *
            (C35 = tblPreset[Fee_Name]) *
            (selActivityCat = tblPreset[Activity_Category]),
            0)
    ),
    IFERROR(
        INDEX(
            tblPreset[Unit],
            MATCH(1,
                (selCountry = tblPreset[Country]) *
                (C35 = tblPreset[Fee_Name]) *
                ("ANY" = tblPreset[Activity_Category]),
                0)
        ),
        ""
    )
)</f>
        <v/>
      </c>
      <c r="M35" s="449" t="s">
        <v>456</v>
      </c>
      <c r="N35" s="450" t="str" cm="1">
        <f t="array" aca="1" ref="N35" ca="1">IF(H35="Yes",
   IF(authorized_credits&lt;&gt;0,
      _xlfn.LET(
         _xlpm.source_val,
            IF(gov_source="Preset data", F35,
               IF(gov_source="User input", G35, "")
            ),
         IF(_xlpm.source_val="","",
            _xlfn.SWITCH(
               IF(gov_source="Preset data", I35,
                  IF(gov_source="User input", J35, "")
               ),
               "Fixed",        _xlpm.source_val,
               "Per_Unit",     _xlpm.source_val*
                  INDIRECT(IF(gov_source="Preset data", P35,
                              IF(gov_source="User input", K35, "")
                  )),
               "In_Kind_Pct",
                  INDIRECT(IF(gov_source="Preset data", P35,
                              IF(gov_source="User input", K35, "")
                  )),
               "Percentage",   _xlpm.source_val*
                  INDIRECT(IF(gov_source="Preset data", P35,
                              IF(gov_source="User input", K35, "")
                  )),
               ""
            )
         )
      ),
      0
   ),
   ""
)</f>
        <v/>
      </c>
      <c r="O35" s="450">
        <f t="shared" ca="1" si="2"/>
        <v>0</v>
      </c>
      <c r="P35" s="295" t="str" cm="1">
        <f t="array" ref="P35">IFERROR(
    INDEX(
        tblPreset[Applies_To],
        MATCH(1,
            (selCountry = tblPreset[Country]) *
            (C35 = tblPreset[Fee_Name]) *
            (selActivityCat = tblPreset[Activity_Category]),
            0)
    ),
    IFERROR(
        INDEX(
            tblPreset[Applies_To],
            MATCH(1,
                (selCountry = tblPreset[Country]) *
                (C35 = tblPreset[Fee_Name]) *
                ("ANY" = tblPreset[Activity_Category]),
                0)
        ),
        ""
    )
)</f>
        <v/>
      </c>
      <c r="Q35" s="450">
        <f t="shared" ca="1" si="3"/>
        <v>0</v>
      </c>
      <c r="R35" s="425" t="str" cm="1">
        <f t="array" ref="R35">IFERROR(
    INDEX(
        tblPreset[Notes],
        MATCH(1,
            (selCountry = tblPreset[Country]) *
            (C35 = tblPreset[Fee_Name]) *
            (selActivityCat = tblPreset[Activity_Category]),
            0)
    ),
    IFERROR(
        INDEX(
            tblPreset[Notes],
            MATCH(1,
                (selCountry = tblPreset[Country]) *
                (C35 = tblPreset[Fee_Name]) *
                ("ANY" = tblPreset[Activity_Category]),
                0)
        ),
        ""
    )
)</f>
        <v/>
      </c>
      <c r="S35" s="407"/>
      <c r="T35" s="407"/>
      <c r="U35" s="407"/>
      <c r="V35" s="407"/>
      <c r="W35" s="407"/>
      <c r="X35" s="360"/>
      <c r="Y35" s="360"/>
    </row>
    <row r="36" spans="2:25" hidden="1" x14ac:dyDescent="0.2">
      <c r="B36" s="413"/>
      <c r="C36" s="419"/>
      <c r="D36" s="446"/>
      <c r="E36" s="447"/>
      <c r="F36" s="448" t="str" cm="1">
        <f t="array" ref="F36">IFERROR(
    INDEX(
        tblPreset[Rate_or_Amount],
        MATCH(1,
            (selCountry = tblPreset[Country]) *
            (C36 = tblPreset[Fee_Name]) *
            (selActivityCat = tblPreset[Activity_Category]),
            0)
    ),
    IFERROR(
        INDEX(
            tblPreset[Rate_or_Amount],
            MATCH(1,
                (selCountry = tblPreset[Country]) *
                (C36 = tblPreset[Fee_Name]) *
                ("ANY" = tblPreset[Activity_Category]),
                0)
        ),
        ""
    )
)</f>
        <v/>
      </c>
      <c r="G36" s="448"/>
      <c r="H36" s="349" t="s">
        <v>378</v>
      </c>
      <c r="I36" s="422" t="str" cm="1">
        <f t="array" ref="I36">IFERROR(
    INDEX(
        tblPreset[Fee_Type],
        MATCH(1,
            (selCountry = tblPreset[Country]) *
            (C36 = tblPreset[Fee_Name]) *
            (selActivityCat = tblPreset[Activity_Category]),
            0)
    ),
    IFERROR(
        INDEX(
            tblPreset[Fee_Type],
            MATCH(1,
                (selCountry = tblPreset[Country]) *
                (C36 = tblPreset[Fee_Name]) *
                ("ANY" = tblPreset[Activity_Category]),
                0)
        ),
        ""
    )
)</f>
        <v/>
      </c>
      <c r="J36" s="449" t="s">
        <v>454</v>
      </c>
      <c r="K36" s="459" t="s">
        <v>461</v>
      </c>
      <c r="L36" s="422" t="str" cm="1">
        <f t="array" ref="L36">IFERROR(
    INDEX(
        tblPreset[Unit],
        MATCH(1,
            (selCountry = tblPreset[Country]) *
            (C36 = tblPreset[Fee_Name]) *
            (selActivityCat = tblPreset[Activity_Category]),
            0)
    ),
    IFERROR(
        INDEX(
            tblPreset[Unit],
            MATCH(1,
                (selCountry = tblPreset[Country]) *
                (C36 = tblPreset[Fee_Name]) *
                ("ANY" = tblPreset[Activity_Category]),
                0)
        ),
        ""
    )
)</f>
        <v/>
      </c>
      <c r="M36" s="449" t="s">
        <v>456</v>
      </c>
      <c r="N36" s="450" t="str" cm="1">
        <f t="array" aca="1" ref="N36" ca="1">IF(H36="Yes",
   IF(authorized_credits&lt;&gt;0,
      _xlfn.LET(
         _xlpm.source_val,
            IF(gov_source="Preset data", F36,
               IF(gov_source="User input", G36, "")
            ),
         IF(_xlpm.source_val="","",
            _xlfn.SWITCH(
               IF(gov_source="Preset data", I36,
                  IF(gov_source="User input", J36, "")
               ),
               "Fixed",        _xlpm.source_val,
               "Per_Unit",     _xlpm.source_val*
                  INDIRECT(IF(gov_source="Preset data", P36,
                              IF(gov_source="User input", K36, "")
                  )),
               "In_Kind_Pct",
                  INDIRECT(IF(gov_source="Preset data", P36,
                              IF(gov_source="User input", K36, "")
                  )),
               "Percentage",   _xlpm.source_val*
                  INDIRECT(IF(gov_source="Preset data", P36,
                              IF(gov_source="User input", K36, "")
                  )),
               ""
            )
         )
      ),
      0
   ),
   ""
)</f>
        <v/>
      </c>
      <c r="O36" s="450">
        <f t="shared" ca="1" si="2"/>
        <v>0</v>
      </c>
      <c r="P36" s="295" t="str" cm="1">
        <f t="array" ref="P36">IFERROR(
    INDEX(
        tblPreset[Applies_To],
        MATCH(1,
            (selCountry = tblPreset[Country]) *
            (C36 = tblPreset[Fee_Name]) *
            (selActivityCat = tblPreset[Activity_Category]),
            0)
    ),
    IFERROR(
        INDEX(
            tblPreset[Applies_To],
            MATCH(1,
                (selCountry = tblPreset[Country]) *
                (C36 = tblPreset[Fee_Name]) *
                ("ANY" = tblPreset[Activity_Category]),
                0)
        ),
        ""
    )
)</f>
        <v/>
      </c>
      <c r="Q36" s="450">
        <f t="shared" ca="1" si="3"/>
        <v>0</v>
      </c>
      <c r="R36" s="425" t="str" cm="1">
        <f t="array" ref="R36">IFERROR(
    INDEX(
        tblPreset[Notes],
        MATCH(1,
            (selCountry = tblPreset[Country]) *
            (C36 = tblPreset[Fee_Name]) *
            (selActivityCat = tblPreset[Activity_Category]),
            0)
    ),
    IFERROR(
        INDEX(
            tblPreset[Notes],
            MATCH(1,
                (selCountry = tblPreset[Country]) *
                (C36 = tblPreset[Fee_Name]) *
                ("ANY" = tblPreset[Activity_Category]),
                0)
        ),
        ""
    )
)</f>
        <v/>
      </c>
      <c r="S36" s="407"/>
      <c r="T36" s="407"/>
      <c r="U36" s="407"/>
      <c r="V36" s="407"/>
      <c r="W36" s="407"/>
      <c r="X36" s="360"/>
      <c r="Y36" s="360"/>
    </row>
    <row r="37" spans="2:25" hidden="1" x14ac:dyDescent="0.2">
      <c r="B37" s="413"/>
      <c r="C37" s="419"/>
      <c r="D37" s="420"/>
      <c r="E37" s="423"/>
      <c r="F37" s="421" t="str" cm="1">
        <f t="array" ref="F37">IFERROR(
    INDEX(
        tblPreset[Rate_or_Amount],
        MATCH(1,
            (selCountry = tblPreset[Country]) *
            (C37 = tblPreset[Fee_Name]) *
            (selActivityCat = tblPreset[Activity_Category]),
            0)
    ),
    IFERROR(
        INDEX(
            tblPreset[Rate_or_Amount],
            MATCH(1,
                (selCountry = tblPreset[Country]) *
                (C37 = tblPreset[Fee_Name]) *
                ("ANY" = tblPreset[Activity_Category]),
                0)
        ),
        ""
    )
)</f>
        <v/>
      </c>
      <c r="G37" s="452"/>
      <c r="H37" s="294" t="s">
        <v>378</v>
      </c>
      <c r="I37" s="422" t="str" cm="1">
        <f t="array" ref="I37">IFERROR(
    INDEX(
        tblPreset[Fee_Type],
        MATCH(1,
            (selCountry = tblPreset[Country]) *
            (C37 = tblPreset[Fee_Name]) *
            (selActivityCat = tblPreset[Activity_Category]),
            0)
    ),
    IFERROR(
        INDEX(
            tblPreset[Fee_Type],
            MATCH(1,
                (selCountry = tblPreset[Country]) *
                (C37 = tblPreset[Fee_Name]) *
                ("ANY" = tblPreset[Activity_Category]),
                0)
        ),
        ""
    )
)</f>
        <v/>
      </c>
      <c r="J37" s="422"/>
      <c r="K37" s="422"/>
      <c r="L37" s="422" t="str" cm="1">
        <f t="array" ref="L37">IFERROR(
    INDEX(
        tblPreset[Unit],
        MATCH(1,
            (selCountry = tblPreset[Country]) *
            (C37 = tblPreset[Fee_Name]) *
            (selActivityCat = tblPreset[Activity_Category]),
            0)
    ),
    IFERROR(
        INDEX(
            tblPreset[Unit],
            MATCH(1,
                (selCountry = tblPreset[Country]) *
                (C37 = tblPreset[Fee_Name]) *
                ("ANY" = tblPreset[Activity_Category]),
                0)
        ),
        ""
    )
)</f>
        <v/>
      </c>
      <c r="M37" s="422"/>
      <c r="N37" s="423" t="str" cm="1">
        <f t="array" aca="1" ref="N37" ca="1">IF(H37="Yes",IF(authorized_credits&lt;&gt;0,_xlfn.LET(
    _xlpm.source_val, IF(gov_source="Preset data", F37, IF(gov_source="User input", G37, "")),
    IF(_xlpm.source_val="", "",
       _xlfn.SWITCH(I37,
           "Fixed", _xlpm.source_val,
           "Per_Unit", _xlpm.source_val*INDIRECT(P37),
           "In_Kind_Pct", INDIRECT(P37),
           "Percentage", _xlpm.source_val*INDIRECT(P37),
           ""
       )
    )
),0),"")</f>
        <v/>
      </c>
      <c r="O37" s="423" t="str">
        <f ca="1">IF(L37&lt;&gt;"In kind",IF(N37&lt;&gt;"",IF(ISNUMBER(SEARCH("USD", L37)), N37, N37 * to_usd),""),N37)</f>
        <v/>
      </c>
      <c r="P37" s="290" t="str" cm="1">
        <f t="array" ref="P37">IFERROR(
    INDEX(
        tblPreset[Applies_To],
        MATCH(1,
            (selCountry = tblPreset[Country]) *
            (C37 = tblPreset[Fee_Name]) *
            (selActivityCat = tblPreset[Activity_Category]),
            0)
    ),
    IFERROR(
        INDEX(
            tblPreset[Applies_To],
            MATCH(1,
                (selCountry = tblPreset[Country]) *
                (C37 = tblPreset[Fee_Name]) *
                ("ANY" = tblPreset[Activity_Category]),
                0)
        ),
        ""
    )
)</f>
        <v/>
      </c>
      <c r="Q37" s="424" t="str">
        <f t="shared" ca="1" si="3"/>
        <v/>
      </c>
      <c r="R37" s="425" t="str" cm="1">
        <f t="array" ref="R37">IFERROR(
    INDEX(
        tblPreset[Notes],
        MATCH(1,
            (selCountry = tblPreset[Country]) *
            (C37 = tblPreset[Fee_Name]) *
            (selActivityCat = tblPreset[Activity_Category]),
            0)
    ),
    IFERROR(
        INDEX(
            tblPreset[Notes],
            MATCH(1,
                (selCountry = tblPreset[Country]) *
                (C37 = tblPreset[Fee_Name]) *
                ("ANY" = tblPreset[Activity_Category]),
                0)
        ),
        ""
    )
)</f>
        <v/>
      </c>
      <c r="S37" s="407"/>
      <c r="T37" s="407"/>
      <c r="U37" s="407"/>
      <c r="V37" s="407"/>
      <c r="W37" s="407"/>
      <c r="X37" s="360"/>
      <c r="Y37" s="360"/>
    </row>
    <row r="38" spans="2:25" hidden="1" x14ac:dyDescent="0.2">
      <c r="B38" s="413"/>
      <c r="C38" s="419"/>
      <c r="D38" s="420"/>
      <c r="E38" s="423"/>
      <c r="F38" s="421" t="str" cm="1">
        <f t="array" ref="F38">IFERROR(
    INDEX(
        tblPreset[Rate_or_Amount],
        MATCH(1,
            (selCountry = tblPreset[Country]) *
            (C38 = tblPreset[Fee_Name]) *
            (selActivityCat = tblPreset[Activity_Category]),
            0)
    ),
    IFERROR(
        INDEX(
            tblPreset[Rate_or_Amount],
            MATCH(1,
                (selCountry = tblPreset[Country]) *
                (C38 = tblPreset[Fee_Name]) *
                ("ANY" = tblPreset[Activity_Category]),
                0)
        ),
        ""
    )
)</f>
        <v/>
      </c>
      <c r="G38" s="452"/>
      <c r="H38" s="294" t="s">
        <v>378</v>
      </c>
      <c r="I38" s="422" t="str" cm="1">
        <f t="array" ref="I38">IFERROR(
    INDEX(
        tblPreset[Fee_Type],
        MATCH(1,
            (selCountry = tblPreset[Country]) *
            (C38 = tblPreset[Fee_Name]) *
            (selActivityCat = tblPreset[Activity_Category]),
            0)
    ),
    IFERROR(
        INDEX(
            tblPreset[Fee_Type],
            MATCH(1,
                (selCountry = tblPreset[Country]) *
                (C38 = tblPreset[Fee_Name]) *
                ("ANY" = tblPreset[Activity_Category]),
                0)
        ),
        ""
    )
)</f>
        <v/>
      </c>
      <c r="J38" s="422"/>
      <c r="K38" s="422"/>
      <c r="L38" s="422" t="str" cm="1">
        <f t="array" ref="L38">IFERROR(
    INDEX(
        tblPreset[Unit],
        MATCH(1,
            (selCountry = tblPreset[Country]) *
            (C38 = tblPreset[Fee_Name]) *
            (selActivityCat = tblPreset[Activity_Category]),
            0)
    ),
    IFERROR(
        INDEX(
            tblPreset[Unit],
            MATCH(1,
                (selCountry = tblPreset[Country]) *
                (C38 = tblPreset[Fee_Name]) *
                ("ANY" = tblPreset[Activity_Category]),
                0)
        ),
        ""
    )
)</f>
        <v/>
      </c>
      <c r="M38" s="422"/>
      <c r="N38" s="423" t="str" cm="1">
        <f t="array" aca="1" ref="N38" ca="1">IF(H38="Yes",IF(authorized_credits&lt;&gt;0,_xlfn.LET(
    _xlpm.source_val, IF(gov_source="Preset data", F38, IF(gov_source="User input", G38, "")),
    IF(_xlpm.source_val="", "",
       _xlfn.SWITCH(I38,
           "Fixed", _xlpm.source_val,
           "Per_Unit", _xlpm.source_val*INDIRECT(P38),
           "In_Kind_Pct", INDIRECT(P38),
           "Percentage", _xlpm.source_val*INDIRECT(P38),
           ""
       )
    )
),0),"")</f>
        <v/>
      </c>
      <c r="O38" s="423" t="str">
        <f ca="1">IF(L38&lt;&gt;"In kind",IF(N38&lt;&gt;"",IF(ISNUMBER(SEARCH("USD", L38)), N38, N38 * to_usd),""),N38)</f>
        <v/>
      </c>
      <c r="P38" s="290" t="str" cm="1">
        <f t="array" ref="P38">IFERROR(
    INDEX(
        tblPreset[Applies_To],
        MATCH(1,
            (selCountry = tblPreset[Country]) *
            (C38 = tblPreset[Fee_Name]) *
            (selActivityCat = tblPreset[Activity_Category]),
            0)
    ),
    IFERROR(
        INDEX(
            tblPreset[Applies_To],
            MATCH(1,
                (selCountry = tblPreset[Country]) *
                (C38 = tblPreset[Fee_Name]) *
                ("ANY" = tblPreset[Activity_Category]),
                0)
        ),
        ""
    )
)</f>
        <v/>
      </c>
      <c r="Q38" s="424" t="str">
        <f t="shared" ca="1" si="3"/>
        <v/>
      </c>
      <c r="R38" s="425" t="str" cm="1">
        <f t="array" ref="R38">IFERROR(
    INDEX(
        tblPreset[Notes],
        MATCH(1,
            (selCountry = tblPreset[Country]) *
            (C38 = tblPreset[Fee_Name]) *
            (selActivityCat = tblPreset[Activity_Category]),
            0)
    ),
    IFERROR(
        INDEX(
            tblPreset[Notes],
            MATCH(1,
                (selCountry = tblPreset[Country]) *
                (C38 = tblPreset[Fee_Name]) *
                ("ANY" = tblPreset[Activity_Category]),
                0)
        ),
        ""
    )
)</f>
        <v/>
      </c>
      <c r="S38" s="407"/>
      <c r="T38" s="407"/>
      <c r="U38" s="407"/>
      <c r="V38" s="407"/>
      <c r="W38" s="407"/>
      <c r="X38" s="360"/>
      <c r="Y38" s="360"/>
    </row>
    <row r="39" spans="2:25" ht="17" thickBot="1" x14ac:dyDescent="0.25">
      <c r="B39" s="415"/>
      <c r="C39" s="416"/>
      <c r="D39" s="453"/>
      <c r="E39" s="394"/>
      <c r="F39" s="392" t="str" cm="1">
        <f t="array" ref="F39">IFERROR(
    INDEX(
        tblPreset[Rate_or_Amount],
        MATCH(1,
            (selCountry = tblPreset[Country]) *
            (C39 = tblPreset[Fee_Name]) *
            (selActivityCat = tblPreset[Activity_Category]),
            0)
    ),
    IFERROR(
        INDEX(
            tblPreset[Rate_or_Amount],
            MATCH(1,
                (selCountry = tblPreset[Country]) *
                (C39 = tblPreset[Fee_Name]) *
                ("ANY" = tblPreset[Activity_Category]),
                0)
        ),
        ""
    )
)</f>
        <v/>
      </c>
      <c r="G39" s="454" t="str" cm="1">
        <f t="array" ref="G39">IFERROR(INDEX(tblPreset[Rate_or_Amount],MATCH(1, (selCountry=tblPreset[Country]) * (F39=tblPreset[Fee_Name]),0)),"")</f>
        <v/>
      </c>
      <c r="H39" s="298"/>
      <c r="I39" s="393" t="str" cm="1">
        <f t="array" ref="I39">IFERROR(
    INDEX(
        tblPreset[Fee_Type],
        MATCH(1,
            (selCountry = tblPreset[Country]) *
            (C39 = tblPreset[Fee_Name]) *
            (selActivityCat = tblPreset[Activity_Category]),
            0)
    ),
    IFERROR(
        INDEX(
            tblPreset[Fee_Type],
            MATCH(1,
                (selCountry = tblPreset[Country]) *
                (C39 = tblPreset[Fee_Name]) *
                ("ANY" = tblPreset[Activity_Category]),
                0)
        ),
        ""
    )
)</f>
        <v/>
      </c>
      <c r="J39" s="393"/>
      <c r="K39" s="393"/>
      <c r="L39" s="393" t="str" cm="1">
        <f t="array" ref="L39">IFERROR(
    INDEX(
        tblPreset[Unit],
        MATCH(1,
            (selCountry = tblPreset[Country]) *
            (C39 = tblPreset[Fee_Name]) *
            (selActivityCat = tblPreset[Activity_Category]),
            0)
    ),
    IFERROR(
        INDEX(
            tblPreset[Unit],
            MATCH(1,
                (selCountry = tblPreset[Country]) *
                (C39 = tblPreset[Fee_Name]) *
                ("ANY" = tblPreset[Activity_Category]),
                0)
        ),
        ""
    )
)</f>
        <v/>
      </c>
      <c r="M39" s="393"/>
      <c r="N39" s="460"/>
      <c r="O39" s="394" t="str">
        <f>IF(L39&lt;&gt;"In kind",IF(N39&lt;&gt;"",IF(ISNUMBER(SEARCH("USD", L39)), N39, N39 * to_usd),""),N39)</f>
        <v/>
      </c>
      <c r="P39" s="288" t="str" cm="1">
        <f t="array" ref="P39">IFERROR(
    INDEX(
        tblPreset[Applies_To],
        MATCH(1,
            (selCountry = tblPreset[Country]) *
            (C39 = tblPreset[Fee_Name]) *
            (selActivityCat = tblPreset[Activity_Category]),
            0)
    ),
    IFERROR(
        INDEX(
            tblPreset[Applies_To],
            MATCH(1,
                (selCountry = tblPreset[Country]) *
                (C39 = tblPreset[Fee_Name]) *
                ("ANY" = tblPreset[Activity_Category]),
                0)
        ),
        ""
    )
)</f>
        <v/>
      </c>
      <c r="Q39" s="396" t="str">
        <f t="shared" si="3"/>
        <v/>
      </c>
      <c r="R39" s="417" t="str" cm="1">
        <f t="array" ref="R39">IFERROR(
    INDEX(
        tblPreset[Notes],
        MATCH(1,
            (selCountry = tblPreset[Country]) *
            (C39 = tblPreset[Fee_Name]) *
            (selActivityCat = tblPreset[Activity_Category]),
            0)
    ),
    IFERROR(
        INDEX(
            tblPreset[Notes],
            MATCH(1,
                (selCountry = tblPreset[Country]) *
                (C39 = tblPreset[Fee_Name]) *
                ("ANY" = tblPreset[Activity_Category]),
                0)
        ),
        ""
    )
)</f>
        <v/>
      </c>
      <c r="S39" s="407"/>
      <c r="T39" s="407"/>
      <c r="U39" s="407"/>
      <c r="V39" s="407"/>
      <c r="W39" s="407"/>
      <c r="X39" s="360"/>
      <c r="Y39" s="360"/>
    </row>
    <row r="40" spans="2:25" ht="17" thickBot="1" x14ac:dyDescent="0.25">
      <c r="B40" s="407"/>
      <c r="C40" s="419"/>
      <c r="D40" s="420"/>
      <c r="E40" s="423"/>
      <c r="F40" s="455"/>
      <c r="G40" s="452"/>
      <c r="H40" s="299"/>
      <c r="I40" s="422"/>
      <c r="J40" s="422"/>
      <c r="K40" s="422"/>
      <c r="L40" s="422"/>
      <c r="M40" s="422"/>
      <c r="N40" s="461"/>
      <c r="O40" s="423"/>
      <c r="P40" s="290"/>
      <c r="Q40" s="424"/>
      <c r="R40" s="420"/>
      <c r="S40" s="407"/>
      <c r="T40" s="407"/>
      <c r="U40" s="407"/>
      <c r="V40" s="407"/>
      <c r="W40" s="407"/>
      <c r="X40" s="360"/>
      <c r="Y40" s="360"/>
    </row>
    <row r="41" spans="2:25" ht="32.25" customHeight="1" thickBot="1" x14ac:dyDescent="0.2">
      <c r="B41" s="72"/>
      <c r="C41" s="73" t="s">
        <v>465</v>
      </c>
      <c r="D41" s="656" t="str">
        <f>IF(selCountry="Test country",_xlfn._LONGTEXT("Countries like Ghana and Kenya charge for a corresponding adjustment fees that is applied per unit of authorized credit. Meanwhile, Zimbabwe has an environmental levy that is applied as a percentage of the total number of authorized credits. Other countri","es like Malaysia have not defined a fee specific to authorized credits."),"")</f>
        <v/>
      </c>
      <c r="E41" s="656"/>
      <c r="F41" s="656"/>
      <c r="G41" s="656"/>
      <c r="H41" s="656"/>
      <c r="I41" s="656"/>
      <c r="J41" s="656"/>
      <c r="K41" s="656"/>
      <c r="L41" s="656"/>
      <c r="M41" s="656"/>
      <c r="N41" s="656"/>
      <c r="O41" s="656"/>
      <c r="P41" s="656"/>
      <c r="Q41" s="656"/>
      <c r="R41" s="39"/>
      <c r="S41" s="407"/>
      <c r="T41" s="407"/>
      <c r="U41" s="407"/>
      <c r="V41" s="407"/>
      <c r="W41" s="407"/>
      <c r="X41" s="363" t="s">
        <v>466</v>
      </c>
      <c r="Y41" s="363" t="s">
        <v>737</v>
      </c>
    </row>
    <row r="42" spans="2:25" x14ac:dyDescent="0.2">
      <c r="B42" s="413"/>
      <c r="C42" s="405"/>
      <c r="D42" s="420"/>
      <c r="E42" s="29"/>
      <c r="F42" s="75"/>
      <c r="G42" s="76"/>
      <c r="H42" s="422"/>
      <c r="I42" s="422" t="str" cm="1">
        <f t="array" ref="I42">IFERROR(
    INDEX(
        tblPreset[Fee_Type],
        MATCH(1,
            (selCountry = tblPreset[Country]) *
            (C41 = tblPreset[Fee_Name]) *
            (selActivityCat = tblPreset[Activity_Category]),
            0)
    ),
    IFERROR(
        INDEX(
            tblPreset[Fee_Type],
            MATCH(1,
                (selCountry = tblPreset[Country]) *
                (C41 = tblPreset[Fee_Name]) *
                ("ANY" = tblPreset[Activity_Category]),
                0)
        ),
        ""
    )
)</f>
        <v/>
      </c>
      <c r="J42" s="422"/>
      <c r="K42" s="422"/>
      <c r="L42" s="422" t="str" cm="1">
        <f t="array" ref="L42">IFERROR(
    INDEX(
        tblPreset[Unit],
        MATCH(1,
            (selCountry = tblPreset[Country]) *
            (C41 = tblPreset[Fee_Name]) *
            (selActivityCat = tblPreset[Activity_Category]),
            0)
    ),
    IFERROR(
        INDEX(
            tblPreset[Unit],
            MATCH(1,
                (selCountry = tblPreset[Country]) *
                (C41 = tblPreset[Fee_Name]) *
                ("ANY" = tblPreset[Activity_Category]),
                0)
        ),
        ""
    )
)</f>
        <v/>
      </c>
      <c r="M42" s="422"/>
      <c r="N42" s="423" t="str" cm="1">
        <f t="array" aca="1" ref="N42" ca="1">IF(H42="Yes",IF(authorized_credits&lt;&gt;0,_xlfn.LET(
    _xlpm.source_val, IF(gov_source="Preset data", F42, IF(gov_source="User input", G42, "")),
    IF(_xlpm.source_val="", "",
       _xlfn.SWITCH(I42,
           "Fixed", _xlpm.source_val,
           "Per_Unit", _xlpm.source_val*INDIRECT(P42),
           "In_Kind_Pct", INDIRECT(P42),
           "Percentage", _xlpm.source_val*INDIRECT(P42),
           ""
       )
    )
),0),"")</f>
        <v/>
      </c>
      <c r="O42" s="423" t="str">
        <f ca="1">IF(L42&lt;&gt;"In kind",IF(N42&lt;&gt;"",IF(ISNUMBER(SEARCH("USD", L42)), N42, N42 * to_usd),""),N42)</f>
        <v/>
      </c>
      <c r="P42" s="290" t="str" cm="1">
        <f t="array" ref="P42">IFERROR(
    INDEX(
        tblPreset[Applies_To],
        MATCH(1,
            (selCountry = tblPreset[Country]) *
            (C41 = tblPreset[Fee_Name]) *
            (selActivityCat = tblPreset[Activity_Category]),
            0)
    ),
    IFERROR(
        INDEX(
            tblPreset[Applies_To],
            MATCH(1,
                (selCountry = tblPreset[Country]) *
                (C41 = tblPreset[Fee_Name]) *
                ("ANY" = tblPreset[Activity_Category]),
                0)
        ),
        ""
    )
)</f>
        <v/>
      </c>
      <c r="Q42" s="424" t="str">
        <f>IFERROR(IF(H42="Yes",O42-E42,""),"")</f>
        <v/>
      </c>
      <c r="R42" s="425" t="str" cm="1">
        <f t="array" ref="R42">IFERROR(
    INDEX(
        tblPreset[Notes],
        MATCH(1,
            (selCountry = tblPreset[Country]) *
            (C41 = tblPreset[Fee_Name]) *
            (selActivityCat = tblPreset[Activity_Category]),
            0)
    ),
    IFERROR(
        INDEX(
            tblPreset[Notes],
            MATCH(1,
                (selCountry = tblPreset[Country]) *
                (C41 = tblPreset[Fee_Name]) *
                ("ANY" = tblPreset[Activity_Category]),
                0)
        ),
        ""
    )
)</f>
        <v/>
      </c>
      <c r="S42" s="407"/>
      <c r="T42" s="407"/>
      <c r="U42" s="407"/>
      <c r="V42" s="407"/>
      <c r="W42" s="407"/>
      <c r="X42" s="45"/>
      <c r="Y42" s="45"/>
    </row>
    <row r="43" spans="2:25" ht="31" thickBot="1" x14ac:dyDescent="0.25">
      <c r="B43" s="413"/>
      <c r="C43" s="79" t="s">
        <v>436</v>
      </c>
      <c r="D43" s="68" t="s">
        <v>437</v>
      </c>
      <c r="E43" s="27" t="s">
        <v>438</v>
      </c>
      <c r="F43" s="69" t="s">
        <v>439</v>
      </c>
      <c r="G43" s="70" t="s">
        <v>440</v>
      </c>
      <c r="H43" s="70" t="s">
        <v>441</v>
      </c>
      <c r="I43" s="70" t="s">
        <v>442</v>
      </c>
      <c r="J43" s="70" t="s">
        <v>443</v>
      </c>
      <c r="K43" s="70" t="s">
        <v>449</v>
      </c>
      <c r="L43" s="70" t="s">
        <v>445</v>
      </c>
      <c r="M43" s="70" t="s">
        <v>446</v>
      </c>
      <c r="N43" s="27" t="s">
        <v>447</v>
      </c>
      <c r="O43" s="27" t="s">
        <v>448</v>
      </c>
      <c r="P43" s="70" t="s">
        <v>449</v>
      </c>
      <c r="Q43" s="27" t="s">
        <v>799</v>
      </c>
      <c r="R43" s="40" t="s">
        <v>450</v>
      </c>
      <c r="S43" s="407"/>
      <c r="T43" s="407"/>
      <c r="U43" s="407"/>
      <c r="V43" s="407"/>
      <c r="W43" s="407"/>
      <c r="X43" s="45"/>
      <c r="Y43" s="45"/>
    </row>
    <row r="44" spans="2:25" x14ac:dyDescent="0.15">
      <c r="B44" s="413"/>
      <c r="C44" s="426" t="str" cm="1">
        <f t="array" ref="C44:C45">IFERROR(
    _xlfn._xlws.SORT(
        _xlfn.UNIQUE(
            _xlfn._xlws.FILTER(
                tblPreset[Fee_Name],
                _xlfn.LET(
                    _xlpm.sectorCondition, IF(selCountry = "Test country",
                                        tblPreset[Sector] = selProjectType,
                                        tblPreset[Sector] = '4.Inputs'!D8),
                    _xlpm.sSector, _xlpm.sectorCondition + (tblPreset[Sector] = "ANY"),
                    _xlpm.sCountry, (tblPreset[Country] = selCountry),        _xlpm.sFeeGroup, (tblPreset[Fee_Group] = "Targeted levy"),
                    _xlpm.sActivity, (tblPreset[Activity_Category] = selActivityCat) + (tblPreset[Activity_Category] = "ANY"),
                    _xlpm.sPathway, (tblPreset[Pathway] = "Authorization") + (tblPreset[Pathway] = "ANY"),
                    _xlpm.sSector * _xlpm.sCountry * _xlpm.sFeeGroup * _xlpm.sActivity * _xlpm.sPathway
                )
            )
        )
    ),
"")</f>
        <v>Corresponding adjustment fee</v>
      </c>
      <c r="D44" s="462"/>
      <c r="E44" s="551"/>
      <c r="F44" s="429" cm="1">
        <f t="array" ref="F44">IFERROR(
    INDEX(
        tblPreset[Rate_or_Amount],
        MATCH(1,
            (selCountry = tblPreset[Country]) *
            (C44 = tblPreset[Fee_Name]) *
            (selActivityCat = tblPreset[Activity_Category]),
            0)
    ),
    IFERROR(
        INDEX(
            tblPreset[Rate_or_Amount],
            MATCH(1,
                (selCountry = tblPreset[Country]) *
                (C44 = tblPreset[Fee_Name]) *
                ("ANY" = tblPreset[Activity_Category]),
                0)
        ),
        ""
    )
)</f>
        <v>5</v>
      </c>
      <c r="G44" s="429">
        <v>30</v>
      </c>
      <c r="H44" s="431" t="s">
        <v>378</v>
      </c>
      <c r="I44" s="430" t="str" cm="1">
        <f t="array" ref="I44">IFERROR(
    INDEX(
        tblPreset[Fee_Type],
        MATCH(1,
            (selCountry = tblPreset[Country]) *
            (C44 = tblPreset[Fee_Name]) *
            (selActivityCat = tblPreset[Activity_Category]),
            0)
    ),
    IFERROR(
        INDEX(
            tblPreset[Fee_Type],
            MATCH(1,
                (selCountry = tblPreset[Country]) *
                (C44 = tblPreset[Fee_Name]) *
                ("ANY" = tblPreset[Activity_Category]),
                0)
        ),
        ""
    )
)</f>
        <v>Per_Unit</v>
      </c>
      <c r="J44" s="431" t="s">
        <v>454</v>
      </c>
      <c r="K44" s="432" t="s">
        <v>467</v>
      </c>
      <c r="L44" s="430" t="str" cm="1">
        <f t="array" ref="L44">IFERROR(
    INDEX(
        tblPreset[Unit],
        MATCH(1,
            (selCountry = tblPreset[Country]) *
            (C44 = tblPreset[Fee_Name]) *
            (selActivityCat = tblPreset[Activity_Category]),
            0)
    ),
    IFERROR(
        INDEX(
            tblPreset[Unit],
            MATCH(1,
                (selCountry = tblPreset[Country]) *
                (C44 = tblPreset[Fee_Name]) *
                ("ANY" = tblPreset[Activity_Category]),
                0)
        ),
        ""
    )
)</f>
        <v>USD</v>
      </c>
      <c r="M44" s="431" t="s">
        <v>456</v>
      </c>
      <c r="N44" s="433" cm="1">
        <f t="array" aca="1" ref="N44" ca="1">IF(H44="Yes",
   IF(authorized_credits&lt;&gt;0,
      _xlfn.LET(
         _xlpm.source_val,
            IF(gov_source="Preset data", F44,
               IF(gov_source="User input", G44, "")
            ),
         IF(_xlpm.source_val="","",
            _xlfn.SWITCH(
               IF(gov_source="Preset data", I44,
                  IF(gov_source="User input", J44, "")
               ),
               "Fixed",        _xlpm.source_val,
               "Per_Unit",     _xlpm.source_val*
                  INDIRECT(IF(gov_source="Preset data", P44,
                              IF(gov_source="User input", K44, "")
                  )),
               "In_Kind_Pct",
                  INDIRECT(IF(gov_source="Preset data", P44,
                              IF(gov_source="User input", K44, "")
                  )),
               "Percentage",   _xlpm.source_val*
                  INDIRECT(IF(gov_source="Preset data", P44,
                              IF(gov_source="User input", K44, "")
                  )),
               ""
            )
         )
      ),
      0
   ),
   ""
)</f>
        <v>1715000</v>
      </c>
      <c r="O44" s="433">
        <f t="shared" ref="O44:O49" ca="1" si="4">IFERROR(IF(
N44,
IF(gov_source="User input",
IF(L44&lt;&gt;"In kind",
IF(N44&lt;&gt;"",
IF(ISNUMBER(SEARCH("USD",M44)),
N44,
N44*to_usd
),
""
),
N44
),
IF(L44&lt;&gt;"In kind",
IF(N44&lt;&gt;"",
IF(ISNUMBER(SEARCH("USD",L44)),
N44,
N44*to_usd
),
""
),
N44
)
)),0)</f>
        <v>1715000</v>
      </c>
      <c r="P44" s="300" t="str" cm="1">
        <f t="array" ref="P44">IFERROR(
    INDEX(
        tblPreset[Applies_To],
        MATCH(1,
            (selCountry = tblPreset[Country]) *
            (C44 = tblPreset[Fee_Name]) *
            (selActivityCat = tblPreset[Activity_Category]),
            0)
    ),
    IFERROR(
        INDEX(
            tblPreset[Applies_To],
            MATCH(1,
                (selCountry = tblPreset[Country]) *
                (C44 = tblPreset[Fee_Name]) *
                ("ANY" = tblPreset[Activity_Category]),
                0)
        ),
        ""
    )
)</f>
        <v>authorized_credits</v>
      </c>
      <c r="Q44" s="463">
        <f t="shared" ref="Q44:Q49" ca="1" si="5">IFERROR(IF(H44="Yes",O44-E44,""),"")</f>
        <v>1715000</v>
      </c>
      <c r="R44" s="435" t="str" cm="1">
        <f t="array" ref="R44">IFERROR(
    INDEX(
        tblPreset[Notes],
        MATCH(1,
            (selCountry = tblPreset[Country]) *
            (C44 = tblPreset[Fee_Name]) *
            (selActivityCat = tblPreset[Activity_Category]),
            0)
    ),
    IFERROR(
        INDEX(
            tblPreset[Notes],
            MATCH(1,
                (selCountry = tblPreset[Country]) *
                (C44 = tblPreset[Fee_Name]) *
                ("ANY" = tblPreset[Activity_Category]),
                0)
        ),
        ""
    )
)</f>
        <v>Applies to authorized mitigation outcomes</v>
      </c>
      <c r="S44" s="407"/>
      <c r="T44" s="407"/>
      <c r="U44" s="407"/>
      <c r="V44" s="407"/>
      <c r="W44" s="407"/>
      <c r="X44" s="363"/>
      <c r="Y44" s="363"/>
    </row>
    <row r="45" spans="2:25" x14ac:dyDescent="0.2">
      <c r="B45" s="413"/>
      <c r="C45" s="419" t="str">
        <v>Listing fee (ITMO)</v>
      </c>
      <c r="D45" s="446"/>
      <c r="E45" s="447"/>
      <c r="F45" s="448" cm="1">
        <f t="array" ref="F45">IFERROR(
    INDEX(
        tblPreset[Rate_or_Amount],
        MATCH(1,
            (selCountry = tblPreset[Country]) *
            (C45 = tblPreset[Fee_Name]) *
            (selActivityCat = tblPreset[Activity_Category]),
            0)
    ),
    IFERROR(
        INDEX(
            tblPreset[Rate_or_Amount],
            MATCH(1,
                (selCountry = tblPreset[Country]) *
                (C45 = tblPreset[Fee_Name]) *
                ("ANY" = tblPreset[Activity_Category]),
                0)
        ),
        ""
    )
)</f>
        <v>0.2</v>
      </c>
      <c r="G45" s="448"/>
      <c r="H45" s="449" t="s">
        <v>378</v>
      </c>
      <c r="I45" s="422" t="str" cm="1">
        <f t="array" ref="I45">IFERROR(
    INDEX(
        tblPreset[Fee_Type],
        MATCH(1,
            (selCountry = tblPreset[Country]) *
            (C45 = tblPreset[Fee_Name]) *
            (selActivityCat = tblPreset[Activity_Category]),
            0)
    ),
    IFERROR(
        INDEX(
            tblPreset[Fee_Type],
            MATCH(1,
                (selCountry = tblPreset[Country]) *
                (C45 = tblPreset[Fee_Name]) *
                ("ANY" = tblPreset[Activity_Category]),
                0)
        ),
        ""
    )
)</f>
        <v>Per_Unit</v>
      </c>
      <c r="J45" s="449" t="s">
        <v>454</v>
      </c>
      <c r="K45" s="464" t="s">
        <v>467</v>
      </c>
      <c r="L45" s="422" t="str" cm="1">
        <f t="array" ref="L45">IFERROR(
    INDEX(
        tblPreset[Unit],
        MATCH(1,
            (selCountry = tblPreset[Country]) *
            (C45 = tblPreset[Fee_Name]) *
            (selActivityCat = tblPreset[Activity_Category]),
            0)
    ),
    IFERROR(
        INDEX(
            tblPreset[Unit],
            MATCH(1,
                (selCountry = tblPreset[Country]) *
                (C45 = tblPreset[Fee_Name]) *
                ("ANY" = tblPreset[Activity_Category]),
                0)
        ),
        ""
    )
)</f>
        <v>USD</v>
      </c>
      <c r="M45" s="449" t="s">
        <v>456</v>
      </c>
      <c r="N45" s="450" cm="1">
        <f t="array" aca="1" ref="N45" ca="1">IF(H45="Yes",
   IF(authorized_credits&lt;&gt;0,
      _xlfn.LET(
         _xlpm.source_val,
            IF(gov_source="Preset data", F45,
               IF(gov_source="User input", G45, "")
            ),
         IF(_xlpm.source_val="","",
            _xlfn.SWITCH(
               IF(gov_source="Preset data", I45,
                  IF(gov_source="User input", J45, "")
               ),
               "Fixed",        _xlpm.source_val,
               "Per_Unit",     _xlpm.source_val*
                  INDIRECT(IF(gov_source="Preset data", P45,
                              IF(gov_source="User input", K45, "")
                  )),
               "In_Kind_Pct",
                  INDIRECT(IF(gov_source="Preset data", P45,
                              IF(gov_source="User input", K45, "")
                  )),
               "Percentage",   _xlpm.source_val*
                  INDIRECT(IF(gov_source="Preset data", P45,
                              IF(gov_source="User input", K45, "")
                  )),
               ""
            )
         )
      ),
      0
   ),
   ""
)</f>
        <v>68600</v>
      </c>
      <c r="O45" s="450">
        <f t="shared" ca="1" si="4"/>
        <v>68600</v>
      </c>
      <c r="P45" s="301" t="str" cm="1">
        <f t="array" ref="P45">IFERROR(
    INDEX(
        tblPreset[Applies_To],
        MATCH(1,
            (selCountry = tblPreset[Country]) *
            (C45 = tblPreset[Fee_Name]) *
            (selActivityCat = tblPreset[Activity_Category]),
            0)
    ),
    IFERROR(
        INDEX(
            tblPreset[Applies_To],
            MATCH(1,
                (selCountry = tblPreset[Country]) *
                (C45 = tblPreset[Fee_Name]) *
                ("ANY" = tblPreset[Activity_Category]),
                0)
        ),
        ""
    )
)</f>
        <v>authorized_credits</v>
      </c>
      <c r="Q45" s="465">
        <f t="shared" ca="1" si="5"/>
        <v>68600</v>
      </c>
      <c r="R45" s="425" t="str" cm="1">
        <f t="array" ref="R45">IFERROR(
    INDEX(
        tblPreset[Notes],
        MATCH(1,
            (selCountry = tblPreset[Country]) *
            (C45 = tblPreset[Fee_Name]) *
            (selActivityCat = tblPreset[Activity_Category]),
            0)
    ),
    IFERROR(
        INDEX(
            tblPreset[Notes],
            MATCH(1,
                (selCountry = tblPreset[Country]) *
                (C45 = tblPreset[Fee_Name]) *
                ("ANY" = tblPreset[Activity_Category]),
                0)
        ),
        ""
    )
)</f>
        <v>Registry services for ITMO authorization and transfer</v>
      </c>
      <c r="S45" s="407"/>
      <c r="T45" s="407"/>
      <c r="U45" s="407"/>
      <c r="V45" s="407"/>
      <c r="W45" s="407"/>
      <c r="X45" s="45"/>
      <c r="Y45" s="45"/>
    </row>
    <row r="46" spans="2:25" hidden="1" x14ac:dyDescent="0.2">
      <c r="B46" s="413"/>
      <c r="C46" s="419"/>
      <c r="D46" s="446"/>
      <c r="E46" s="447"/>
      <c r="F46" s="448" t="str" cm="1">
        <f t="array" ref="F46">IFERROR(
    INDEX(
        tblPreset[Rate_or_Amount],
        MATCH(1,
            (selCountry = tblPreset[Country]) *
            (C46 = tblPreset[Fee_Name]) *
            (selActivityCat = tblPreset[Activity_Category]),
            0)
    ),
    IFERROR(
        INDEX(
            tblPreset[Rate_or_Amount],
            MATCH(1,
                (selCountry = tblPreset[Country]) *
                (C46 = tblPreset[Fee_Name]) *
                ("ANY" = tblPreset[Activity_Category]),
                0)
        ),
        ""
    )
)</f>
        <v/>
      </c>
      <c r="G46" s="448"/>
      <c r="H46" s="449" t="s">
        <v>378</v>
      </c>
      <c r="I46" s="422" t="str" cm="1">
        <f t="array" ref="I46">IFERROR(
    INDEX(
        tblPreset[Fee_Type],
        MATCH(1,
            (selCountry = tblPreset[Country]) *
            (C46 = tblPreset[Fee_Name]) *
            (selActivityCat = tblPreset[Activity_Category]),
            0)
    ),
    IFERROR(
        INDEX(
            tblPreset[Fee_Type],
            MATCH(1,
                (selCountry = tblPreset[Country]) *
                (C46 = tblPreset[Fee_Name]) *
                ("ANY" = tblPreset[Activity_Category]),
                0)
        ),
        ""
    )
)</f>
        <v/>
      </c>
      <c r="J46" s="449" t="s">
        <v>454</v>
      </c>
      <c r="K46" s="459" t="s">
        <v>467</v>
      </c>
      <c r="L46" s="422" t="str" cm="1">
        <f t="array" ref="L46">IFERROR(
    INDEX(
        tblPreset[Unit],
        MATCH(1,
            (selCountry = tblPreset[Country]) *
            (C46 = tblPreset[Fee_Name]) *
            (selActivityCat = tblPreset[Activity_Category]),
            0)
    ),
    IFERROR(
        INDEX(
            tblPreset[Unit],
            MATCH(1,
                (selCountry = tblPreset[Country]) *
                (C46 = tblPreset[Fee_Name]) *
                ("ANY" = tblPreset[Activity_Category]),
                0)
        ),
        ""
    )
)</f>
        <v/>
      </c>
      <c r="M46" s="449" t="s">
        <v>456</v>
      </c>
      <c r="N46" s="450" t="str" cm="1">
        <f t="array" aca="1" ref="N46" ca="1">IF(H46="Yes",
   IF(authorized_credits&lt;&gt;0,
      _xlfn.LET(
         _xlpm.source_val,
            IF(gov_source="Preset data", F46,
               IF(gov_source="User input", G46, "")
            ),
         IF(_xlpm.source_val="","",
            _xlfn.SWITCH(
               IF(gov_source="Preset data", I46,
                  IF(gov_source="User input", J46, "")
               ),
               "Fixed",        _xlpm.source_val,
               "Per_Unit",     _xlpm.source_val*
                  INDIRECT(IF(gov_source="Preset data", P46,
                              IF(gov_source="User input", K46, "")
                  )),
               "In_Kind_Pct",
                  INDIRECT(IF(gov_source="Preset data", P46,
                              IF(gov_source="User input", K46, "")
                  )),
               "Percentage",   _xlpm.source_val*
                  INDIRECT(IF(gov_source="Preset data", P46,
                              IF(gov_source="User input", K46, "")
                  )),
               ""
            )
         )
      ),
      0
   ),
   ""
)</f>
        <v/>
      </c>
      <c r="O46" s="450">
        <f t="shared" ca="1" si="4"/>
        <v>0</v>
      </c>
      <c r="P46" s="301" t="str" cm="1">
        <f t="array" ref="P46">IFERROR(
    INDEX(
        tblPreset[Applies_To],
        MATCH(1,
            (selCountry = tblPreset[Country]) *
            (C46 = tblPreset[Fee_Name]) *
            (selActivityCat = tblPreset[Activity_Category]),
            0)
    ),
    IFERROR(
        INDEX(
            tblPreset[Applies_To],
            MATCH(1,
                (selCountry = tblPreset[Country]) *
                (C46 = tblPreset[Fee_Name]) *
                ("ANY" = tblPreset[Activity_Category]),
                0)
        ),
        ""
    )
)</f>
        <v/>
      </c>
      <c r="Q46" s="465">
        <f t="shared" ca="1" si="5"/>
        <v>0</v>
      </c>
      <c r="R46" s="425" t="str" cm="1">
        <f t="array" ref="R46">IFERROR(
    INDEX(
        tblPreset[Notes],
        MATCH(1,
            (selCountry = tblPreset[Country]) *
            (C46 = tblPreset[Fee_Name]) *
            (selActivityCat = tblPreset[Activity_Category]),
            0)
    ),
    IFERROR(
        INDEX(
            tblPreset[Notes],
            MATCH(1,
                (selCountry = tblPreset[Country]) *
                (C46 = tblPreset[Fee_Name]) *
                ("ANY" = tblPreset[Activity_Category]),
                0)
        ),
        ""
    )
)</f>
        <v/>
      </c>
      <c r="S46" s="407"/>
      <c r="T46" s="407"/>
      <c r="U46" s="407"/>
      <c r="V46" s="407"/>
      <c r="W46" s="407"/>
      <c r="X46" s="45"/>
      <c r="Y46" s="45"/>
    </row>
    <row r="47" spans="2:25" hidden="1" x14ac:dyDescent="0.2">
      <c r="B47" s="413"/>
      <c r="C47" s="419"/>
      <c r="D47" s="446"/>
      <c r="E47" s="447"/>
      <c r="F47" s="448" t="str" cm="1">
        <f t="array" ref="F47">IFERROR(
    INDEX(
        tblPreset[Rate_or_Amount],
        MATCH(1,
            (selCountry = tblPreset[Country]) *
            (C47 = tblPreset[Fee_Name]) *
            (selActivityCat = tblPreset[Activity_Category]),
            0)
    ),
    IFERROR(
        INDEX(
            tblPreset[Rate_or_Amount],
            MATCH(1,
                (selCountry = tblPreset[Country]) *
                (C47 = tblPreset[Fee_Name]) *
                ("ANY" = tblPreset[Activity_Category]),
                0)
        ),
        ""
    )
)</f>
        <v/>
      </c>
      <c r="G47" s="448"/>
      <c r="H47" s="449" t="s">
        <v>378</v>
      </c>
      <c r="I47" s="422" t="str" cm="1">
        <f t="array" ref="I47">IFERROR(
    INDEX(
        tblPreset[Fee_Type],
        MATCH(1,
            (selCountry = tblPreset[Country]) *
            (C47 = tblPreset[Fee_Name]) *
            (selActivityCat = tblPreset[Activity_Category]),
            0)
    ),
    IFERROR(
        INDEX(
            tblPreset[Fee_Type],
            MATCH(1,
                (selCountry = tblPreset[Country]) *
                (C47 = tblPreset[Fee_Name]) *
                ("ANY" = tblPreset[Activity_Category]),
                0)
        ),
        ""
    )
)</f>
        <v/>
      </c>
      <c r="J47" s="449" t="s">
        <v>454</v>
      </c>
      <c r="K47" s="459" t="s">
        <v>467</v>
      </c>
      <c r="L47" s="422" t="str" cm="1">
        <f t="array" ref="L47">IFERROR(
    INDEX(
        tblPreset[Unit],
        MATCH(1,
            (selCountry = tblPreset[Country]) *
            (C47 = tblPreset[Fee_Name]) *
            (selActivityCat = tblPreset[Activity_Category]),
            0)
    ),
    IFERROR(
        INDEX(
            tblPreset[Unit],
            MATCH(1,
                (selCountry = tblPreset[Country]) *
                (C47 = tblPreset[Fee_Name]) *
                ("ANY" = tblPreset[Activity_Category]),
                0)
        ),
        ""
    )
)</f>
        <v/>
      </c>
      <c r="M47" s="449" t="s">
        <v>456</v>
      </c>
      <c r="N47" s="450" t="str" cm="1">
        <f t="array" aca="1" ref="N47" ca="1">IF(H47="Yes",
   IF(authorized_credits&lt;&gt;0,
      _xlfn.LET(
         _xlpm.source_val,
            IF(gov_source="Preset data", F47,
               IF(gov_source="User input", G47, "")
            ),
         IF(_xlpm.source_val="","",
            _xlfn.SWITCH(
               IF(gov_source="Preset data", I47,
                  IF(gov_source="User input", J47, "")
               ),
               "Fixed",        _xlpm.source_val,
               "Per_Unit",     _xlpm.source_val*
                  INDIRECT(IF(gov_source="Preset data", P47,
                              IF(gov_source="User input", K47, "")
                  )),
               "In_Kind_Pct",
                  INDIRECT(IF(gov_source="Preset data", P47,
                              IF(gov_source="User input", K47, "")
                  )),
               "Percentage",   _xlpm.source_val*
                  INDIRECT(IF(gov_source="Preset data", P47,
                              IF(gov_source="User input", K47, "")
                  )),
               ""
            )
         )
      ),
      0
   ),
   ""
)</f>
        <v/>
      </c>
      <c r="O47" s="450">
        <f t="shared" ca="1" si="4"/>
        <v>0</v>
      </c>
      <c r="P47" s="301" t="str" cm="1">
        <f t="array" ref="P47">IFERROR(
    INDEX(
        tblPreset[Applies_To],
        MATCH(1,
            (selCountry = tblPreset[Country]) *
            (C47 = tblPreset[Fee_Name]) *
            (selActivityCat = tblPreset[Activity_Category]),
            0)
    ),
    IFERROR(
        INDEX(
            tblPreset[Applies_To],
            MATCH(1,
                (selCountry = tblPreset[Country]) *
                (C47 = tblPreset[Fee_Name]) *
                ("ANY" = tblPreset[Activity_Category]),
                0)
        ),
        ""
    )
)</f>
        <v/>
      </c>
      <c r="Q47" s="465">
        <f t="shared" ca="1" si="5"/>
        <v>0</v>
      </c>
      <c r="R47" s="425" t="str" cm="1">
        <f t="array" ref="R47">IFERROR(
    INDEX(
        tblPreset[Notes],
        MATCH(1,
            (selCountry = tblPreset[Country]) *
            (C47 = tblPreset[Fee_Name]) *
            (selActivityCat = tblPreset[Activity_Category]),
            0)
    ),
    IFERROR(
        INDEX(
            tblPreset[Notes],
            MATCH(1,
                (selCountry = tblPreset[Country]) *
                (C47 = tblPreset[Fee_Name]) *
                ("ANY" = tblPreset[Activity_Category]),
                0)
        ),
        ""
    )
)</f>
        <v/>
      </c>
      <c r="S47" s="407"/>
      <c r="T47" s="407"/>
      <c r="U47" s="407"/>
      <c r="V47" s="407"/>
      <c r="W47" s="407"/>
      <c r="X47" s="45"/>
      <c r="Y47" s="45"/>
    </row>
    <row r="48" spans="2:25" hidden="1" x14ac:dyDescent="0.2">
      <c r="B48" s="413"/>
      <c r="C48" s="419"/>
      <c r="D48" s="446"/>
      <c r="E48" s="447"/>
      <c r="F48" s="448" t="str" cm="1">
        <f t="array" ref="F48">IFERROR(
    INDEX(
        tblPreset[Rate_or_Amount],
        MATCH(1,
            (selCountry = tblPreset[Country]) *
            (C48 = tblPreset[Fee_Name]) *
            (selActivityCat = tblPreset[Activity_Category]),
            0)
    ),
    IFERROR(
        INDEX(
            tblPreset[Rate_or_Amount],
            MATCH(1,
                (selCountry = tblPreset[Country]) *
                (C48 = tblPreset[Fee_Name]) *
                ("ANY" = tblPreset[Activity_Category]),
                0)
        ),
        ""
    )
)</f>
        <v/>
      </c>
      <c r="G48" s="448"/>
      <c r="H48" s="449" t="s">
        <v>378</v>
      </c>
      <c r="I48" s="422" t="str" cm="1">
        <f t="array" ref="I48">IFERROR(
    INDEX(
        tblPreset[Fee_Type],
        MATCH(1,
            (selCountry = tblPreset[Country]) *
            (C48 = tblPreset[Fee_Name]) *
            (selActivityCat = tblPreset[Activity_Category]),
            0)
    ),
    IFERROR(
        INDEX(
            tblPreset[Fee_Type],
            MATCH(1,
                (selCountry = tblPreset[Country]) *
                (C48 = tblPreset[Fee_Name]) *
                ("ANY" = tblPreset[Activity_Category]),
                0)
        ),
        ""
    )
)</f>
        <v/>
      </c>
      <c r="J48" s="449" t="s">
        <v>454</v>
      </c>
      <c r="K48" s="459" t="s">
        <v>467</v>
      </c>
      <c r="L48" s="422" t="str" cm="1">
        <f t="array" ref="L48">IFERROR(
    INDEX(
        tblPreset[Unit],
        MATCH(1,
            (selCountry = tblPreset[Country]) *
            (C48 = tblPreset[Fee_Name]) *
            (selActivityCat = tblPreset[Activity_Category]),
            0)
    ),
    IFERROR(
        INDEX(
            tblPreset[Unit],
            MATCH(1,
                (selCountry = tblPreset[Country]) *
                (C48 = tblPreset[Fee_Name]) *
                ("ANY" = tblPreset[Activity_Category]),
                0)
        ),
        ""
    )
)</f>
        <v/>
      </c>
      <c r="M48" s="449" t="s">
        <v>458</v>
      </c>
      <c r="N48" s="450" t="str" cm="1">
        <f t="array" aca="1" ref="N48" ca="1">IF(H48="Yes",
   IF(authorized_credits&lt;&gt;0,
      _xlfn.LET(
         _xlpm.source_val,
            IF(gov_source="Preset data", F48,
               IF(gov_source="User input", G48, "")
            ),
         IF(_xlpm.source_val="","",
            _xlfn.SWITCH(
               IF(gov_source="Preset data", I48,
                  IF(gov_source="User input", J48, "")
               ),
               "Fixed",        _xlpm.source_val,
               "Per_Unit",     _xlpm.source_val*
                  INDIRECT(IF(gov_source="Preset data", P48,
                              IF(gov_source="User input", K48, "")
                  )),
               "In_Kind_Pct",
                  INDIRECT(IF(gov_source="Preset data", P48,
                              IF(gov_source="User input", K48, "")
                  )),
               "Percentage",   _xlpm.source_val*
                  INDIRECT(IF(gov_source="Preset data", P48,
                              IF(gov_source="User input", K48, "")
                  )),
               ""
            )
         )
      ),
      0
   ),
   ""
)</f>
        <v/>
      </c>
      <c r="O48" s="450">
        <f t="shared" ca="1" si="4"/>
        <v>0</v>
      </c>
      <c r="P48" s="301" t="str" cm="1">
        <f t="array" ref="P48">IFERROR(
    INDEX(
        tblPreset[Applies_To],
        MATCH(1,
            (selCountry = tblPreset[Country]) *
            (C48 = tblPreset[Fee_Name]) *
            (selActivityCat = tblPreset[Activity_Category]),
            0)
    ),
    IFERROR(
        INDEX(
            tblPreset[Applies_To],
            MATCH(1,
                (selCountry = tblPreset[Country]) *
                (C48 = tblPreset[Fee_Name]) *
                ("ANY" = tblPreset[Activity_Category]),
                0)
        ),
        ""
    )
)</f>
        <v/>
      </c>
      <c r="Q48" s="465">
        <f t="shared" ca="1" si="5"/>
        <v>0</v>
      </c>
      <c r="R48" s="425" t="str" cm="1">
        <f t="array" ref="R48">IFERROR(
    INDEX(
        tblPreset[Notes],
        MATCH(1,
            (selCountry = tblPreset[Country]) *
            (C48 = tblPreset[Fee_Name]) *
            (selActivityCat = tblPreset[Activity_Category]),
            0)
    ),
    IFERROR(
        INDEX(
            tblPreset[Notes],
            MATCH(1,
                (selCountry = tblPreset[Country]) *
                (C48 = tblPreset[Fee_Name]) *
                ("ANY" = tblPreset[Activity_Category]),
                0)
        ),
        ""
    )
)</f>
        <v/>
      </c>
      <c r="S48" s="407"/>
      <c r="T48" s="407"/>
      <c r="U48" s="407"/>
      <c r="V48" s="407"/>
      <c r="W48" s="407"/>
      <c r="X48" s="45"/>
      <c r="Y48" s="45"/>
    </row>
    <row r="49" spans="2:25" hidden="1" x14ac:dyDescent="0.2">
      <c r="B49" s="413"/>
      <c r="C49" s="419"/>
      <c r="D49" s="446"/>
      <c r="E49" s="447"/>
      <c r="F49" s="448" t="str" cm="1">
        <f t="array" ref="F49">IFERROR(
    INDEX(
        tblPreset[Rate_or_Amount],
        MATCH(1,
            (selCountry = tblPreset[Country]) *
            (C49 = tblPreset[Fee_Name]) *
            (selActivityCat = tblPreset[Activity_Category]),
            0)
    ),
    IFERROR(
        INDEX(
            tblPreset[Rate_or_Amount],
            MATCH(1,
                (selCountry = tblPreset[Country]) *
                (C49 = tblPreset[Fee_Name]) *
                ("ANY" = tblPreset[Activity_Category]),
                0)
        ),
        ""
    )
)</f>
        <v/>
      </c>
      <c r="G49" s="448"/>
      <c r="H49" s="449" t="s">
        <v>378</v>
      </c>
      <c r="I49" s="422" t="str" cm="1">
        <f t="array" ref="I49">IFERROR(
    INDEX(
        tblPreset[Fee_Type],
        MATCH(1,
            (selCountry = tblPreset[Country]) *
            (C49 = tblPreset[Fee_Name]) *
            (selActivityCat = tblPreset[Activity_Category]),
            0)
    ),
    IFERROR(
        INDEX(
            tblPreset[Fee_Type],
            MATCH(1,
                (selCountry = tblPreset[Country]) *
                (C49 = tblPreset[Fee_Name]) *
                ("ANY" = tblPreset[Activity_Category]),
                0)
        ),
        ""
    )
)</f>
        <v/>
      </c>
      <c r="J49" s="449" t="s">
        <v>454</v>
      </c>
      <c r="K49" s="459" t="s">
        <v>467</v>
      </c>
      <c r="L49" s="422" t="str" cm="1">
        <f t="array" ref="L49">IFERROR(
    INDEX(
        tblPreset[Unit],
        MATCH(1,
            (selCountry = tblPreset[Country]) *
            (C49 = tblPreset[Fee_Name]) *
            (selActivityCat = tblPreset[Activity_Category]),
            0)
    ),
    IFERROR(
        INDEX(
            tblPreset[Unit],
            MATCH(1,
                (selCountry = tblPreset[Country]) *
                (C49 = tblPreset[Fee_Name]) *
                ("ANY" = tblPreset[Activity_Category]),
                0)
        ),
        ""
    )
)</f>
        <v/>
      </c>
      <c r="M49" s="449" t="s">
        <v>456</v>
      </c>
      <c r="N49" s="450" t="str" cm="1">
        <f t="array" aca="1" ref="N49" ca="1">IF(H49="Yes",
   IF(authorized_credits&lt;&gt;0,
      _xlfn.LET(
         _xlpm.source_val,
            IF(gov_source="Preset data", F49,
               IF(gov_source="User input", G49, "")
            ),
         IF(_xlpm.source_val="","",
            _xlfn.SWITCH(
               IF(gov_source="Preset data", I49,
                  IF(gov_source="User input", J49, "")
               ),
               "Fixed",        _xlpm.source_val,
               "Per_Unit",     _xlpm.source_val*
                  INDIRECT(IF(gov_source="Preset data", P49,
                              IF(gov_source="User input", K49, "")
                  )),
               "In_Kind_Pct",
                  INDIRECT(IF(gov_source="Preset data", P49,
                              IF(gov_source="User input", K49, "")
                  )),
               "Percentage",   _xlpm.source_val*
                  INDIRECT(IF(gov_source="Preset data", P49,
                              IF(gov_source="User input", K49, "")
                  )),
               ""
            )
         )
      ),
      0
   ),
   ""
)</f>
        <v/>
      </c>
      <c r="O49" s="450">
        <f t="shared" ca="1" si="4"/>
        <v>0</v>
      </c>
      <c r="P49" s="301" t="str" cm="1">
        <f t="array" ref="P49">IFERROR(
    INDEX(
        tblPreset[Applies_To],
        MATCH(1,
            (selCountry = tblPreset[Country]) *
            (C49 = tblPreset[Fee_Name]) *
            (selActivityCat = tblPreset[Activity_Category]),
            0)
    ),
    IFERROR(
        INDEX(
            tblPreset[Applies_To],
            MATCH(1,
                (selCountry = tblPreset[Country]) *
                (C49 = tblPreset[Fee_Name]) *
                ("ANY" = tblPreset[Activity_Category]),
                0)
        ),
        ""
    )
)</f>
        <v/>
      </c>
      <c r="Q49" s="465">
        <f t="shared" ca="1" si="5"/>
        <v>0</v>
      </c>
      <c r="R49" s="425" t="str" cm="1">
        <f t="array" ref="R49">IFERROR(
    INDEX(
        tblPreset[Notes],
        MATCH(1,
            (selCountry = tblPreset[Country]) *
            (C49 = tblPreset[Fee_Name]) *
            (selActivityCat = tblPreset[Activity_Category]),
            0)
    ),
    IFERROR(
        INDEX(
            tblPreset[Notes],
            MATCH(1,
                (selCountry = tblPreset[Country]) *
                (C49 = tblPreset[Fee_Name]) *
                ("ANY" = tblPreset[Activity_Category]),
                0)
        ),
        ""
    )
)</f>
        <v/>
      </c>
      <c r="S49" s="407"/>
      <c r="T49" s="407"/>
      <c r="U49" s="407"/>
      <c r="V49" s="407"/>
      <c r="W49" s="407"/>
      <c r="X49" s="45"/>
      <c r="Y49" s="45"/>
    </row>
    <row r="50" spans="2:25" hidden="1" x14ac:dyDescent="0.15">
      <c r="B50" s="413"/>
      <c r="C50" s="419"/>
      <c r="D50" s="420"/>
      <c r="E50" s="423"/>
      <c r="F50" s="421"/>
      <c r="G50" s="452"/>
      <c r="H50" s="422" t="s">
        <v>378</v>
      </c>
      <c r="I50" s="422" t="str" cm="1">
        <f t="array" ref="I50">IFERROR(
    INDEX(
        tblPreset[Fee_Type],
        MATCH(1,
            (selCountry = tblPreset[Country]) *
            (C50 = tblPreset[Fee_Name]) *
            (selActivityCat = tblPreset[Activity_Category]),
            0)
    ),
    IFERROR(
        INDEX(
            tblPreset[Fee_Type],
            MATCH(1,
                (selCountry = tblPreset[Country]) *
                (C50 = tblPreset[Fee_Name]) *
                ("ANY" = tblPreset[Activity_Category]),
                0)
        ),
        ""
    )
)</f>
        <v/>
      </c>
      <c r="J50" s="422"/>
      <c r="K50" s="422"/>
      <c r="L50" s="422" t="str" cm="1">
        <f t="array" ref="L50">IFERROR(
    INDEX(
        tblPreset[Unit],
        MATCH(1,
            (selCountry = tblPreset[Country]) *
            (C50 = tblPreset[Fee_Name]) *
            (selActivityCat = tblPreset[Activity_Category]),
            0)
    ),
    IFERROR(
        INDEX(
            tblPreset[Unit],
            MATCH(1,
                (selCountry = tblPreset[Country]) *
                (C50 = tblPreset[Fee_Name]) *
                ("ANY" = tblPreset[Activity_Category]),
                0)
        ),
        ""
    )
)</f>
        <v/>
      </c>
      <c r="M50" s="422" t="s">
        <v>456</v>
      </c>
      <c r="N50" s="466"/>
      <c r="O50" s="423" t="str">
        <f t="shared" ref="O50:O58" si="6">IF(L50&lt;&gt;"In kind",IF(N50&lt;&gt;"",IF(ISNUMBER(SEARCH("USD", L50)), N50, N50 * to_usd),""),N50)</f>
        <v/>
      </c>
      <c r="P50" s="290"/>
      <c r="Q50" s="467" t="str">
        <f t="shared" ref="Q50:Q58" si="7">IFERROR(IF(H50="Yes",O50-E50,""),"")</f>
        <v/>
      </c>
      <c r="R50" s="425"/>
      <c r="S50" s="407"/>
      <c r="T50" s="407"/>
      <c r="U50" s="407"/>
      <c r="V50" s="407"/>
      <c r="W50" s="407"/>
      <c r="X50" s="407"/>
      <c r="Y50" s="407"/>
    </row>
    <row r="51" spans="2:25" hidden="1" x14ac:dyDescent="0.15">
      <c r="B51" s="413"/>
      <c r="C51" s="419"/>
      <c r="D51" s="420"/>
      <c r="E51" s="423"/>
      <c r="F51" s="421"/>
      <c r="G51" s="452"/>
      <c r="H51" s="422" t="s">
        <v>378</v>
      </c>
      <c r="I51" s="422" t="str" cm="1">
        <f t="array" ref="I51">IFERROR(
    INDEX(
        tblPreset[Fee_Type],
        MATCH(1,
            (selCountry = tblPreset[Country]) *
            (B85 = tblPreset[Fee_Name]) *
            (selActivityCat = tblPreset[Activity_Category]),
            0)
    ),
    IFERROR(
        INDEX(
            tblPreset[Fee_Type],
            MATCH(1,
                (selCountry = tblPreset[Country]) *
                (B85 = tblPreset[Fee_Name]) *
                ("ANY" = tblPreset[Activity_Category]),
                0)
        ),
        ""
    )
)</f>
        <v/>
      </c>
      <c r="J51" s="422"/>
      <c r="K51" s="422"/>
      <c r="L51" s="422" t="str" cm="1">
        <f t="array" ref="L51">IFERROR(
    INDEX(
        tblPreset[Unit],
        MATCH(1,
            (selCountry = tblPreset[Country]) *
            (C51 = tblPreset[Fee_Name]) *
            (selActivityCat = tblPreset[Activity_Category]),
            0)
    ),
    IFERROR(
        INDEX(
            tblPreset[Unit],
            MATCH(1,
                (selCountry = tblPreset[Country]) *
                (C51 = tblPreset[Fee_Name]) *
                ("ANY" = tblPreset[Activity_Category]),
                0)
        ),
        ""
    )
)</f>
        <v/>
      </c>
      <c r="M51" s="422" t="s">
        <v>456</v>
      </c>
      <c r="N51" s="466"/>
      <c r="O51" s="423" t="str">
        <f t="shared" si="6"/>
        <v/>
      </c>
      <c r="P51" s="290"/>
      <c r="Q51" s="467" t="str">
        <f t="shared" si="7"/>
        <v/>
      </c>
      <c r="R51" s="425"/>
      <c r="S51" s="407"/>
      <c r="T51" s="407"/>
      <c r="U51" s="407"/>
      <c r="V51" s="407"/>
      <c r="W51" s="407"/>
      <c r="X51" s="407"/>
      <c r="Y51" s="407"/>
    </row>
    <row r="52" spans="2:25" hidden="1" x14ac:dyDescent="0.15">
      <c r="B52" s="413"/>
      <c r="C52" s="419"/>
      <c r="D52" s="420"/>
      <c r="E52" s="423"/>
      <c r="F52" s="421"/>
      <c r="G52" s="452"/>
      <c r="H52" s="422"/>
      <c r="I52" s="422" t="str" cm="1">
        <f t="array" ref="I52">IFERROR(
    INDEX(
        tblPreset[Fee_Type],
        MATCH(1,
            (selCountry = tblPreset[Country]) *
            (B86 = tblPreset[Fee_Name]) *
            (selActivityCat = tblPreset[Activity_Category]),
            0)
    ),
    IFERROR(
        INDEX(
            tblPreset[Fee_Type],
            MATCH(1,
                (selCountry = tblPreset[Country]) *
                (B86 = tblPreset[Fee_Name]) *
                ("ANY" = tblPreset[Activity_Category]),
                0)
        ),
        ""
    )
)</f>
        <v/>
      </c>
      <c r="J52" s="422"/>
      <c r="K52" s="422"/>
      <c r="L52" s="422" t="str" cm="1">
        <f t="array" ref="L52">IFERROR(
    INDEX(
        tblPreset[Unit],
        MATCH(1,
            (selCountry = tblPreset[Country]) *
            (C52 = tblPreset[Fee_Name]) *
            (selActivityCat = tblPreset[Activity_Category]),
            0)
    ),
    IFERROR(
        INDEX(
            tblPreset[Unit],
            MATCH(1,
                (selCountry = tblPreset[Country]) *
                (C52 = tblPreset[Fee_Name]) *
                ("ANY" = tblPreset[Activity_Category]),
                0)
        ),
        ""
    )
)</f>
        <v/>
      </c>
      <c r="M52" s="422" t="s">
        <v>456</v>
      </c>
      <c r="N52" s="466"/>
      <c r="O52" s="423" t="str">
        <f t="shared" si="6"/>
        <v/>
      </c>
      <c r="P52" s="290"/>
      <c r="Q52" s="467" t="str">
        <f t="shared" si="7"/>
        <v/>
      </c>
      <c r="R52" s="425" t="str" cm="1">
        <f t="array" ref="R52">IFERROR(
    INDEX(
        tblPreset[Notes],
        MATCH(1,
            (selCountry = tblPreset[Country]) *
            (B86 = tblPreset[Fee_Name]) *
            (selActivityCat = tblPreset[Activity_Category]),
            0)
    ),
    IFERROR(
        INDEX(
            tblPreset[Notes],
            MATCH(1,
                (selCountry = tblPreset[Country]) *
                (B86 = tblPreset[Fee_Name]) *
                ("ANY" = tblPreset[Activity_Category]),
                0)
        ),
        ""
    )
)</f>
        <v/>
      </c>
      <c r="S52" s="407"/>
      <c r="T52" s="407"/>
      <c r="U52" s="407"/>
      <c r="V52" s="407"/>
      <c r="W52" s="407"/>
      <c r="X52" s="407"/>
      <c r="Y52" s="407"/>
    </row>
    <row r="53" spans="2:25" hidden="1" x14ac:dyDescent="0.15">
      <c r="B53" s="413"/>
      <c r="C53" s="419"/>
      <c r="D53" s="420"/>
      <c r="E53" s="423"/>
      <c r="F53" s="421"/>
      <c r="G53" s="452"/>
      <c r="H53" s="452"/>
      <c r="I53" s="422"/>
      <c r="J53" s="422"/>
      <c r="K53" s="422"/>
      <c r="L53" s="422" t="str" cm="1">
        <f t="array" ref="L53">IFERROR(
    INDEX(
        tblPreset[Unit],
        MATCH(1,
            (selCountry = tblPreset[Country]) *
            (C53 = tblPreset[Fee_Name]) *
            (selActivityCat = tblPreset[Activity_Category]),
            0)
    ),
    IFERROR(
        INDEX(
            tblPreset[Unit],
            MATCH(1,
                (selCountry = tblPreset[Country]) *
                (C53 = tblPreset[Fee_Name]) *
                ("ANY" = tblPreset[Activity_Category]),
                0)
        ),
        ""
    )
)</f>
        <v/>
      </c>
      <c r="M53" s="422" t="s">
        <v>456</v>
      </c>
      <c r="N53" s="466"/>
      <c r="O53" s="423" t="str">
        <f t="shared" si="6"/>
        <v/>
      </c>
      <c r="P53" s="290"/>
      <c r="Q53" s="467" t="str">
        <f t="shared" si="7"/>
        <v/>
      </c>
      <c r="R53" s="425" t="str" cm="1">
        <f t="array" ref="R53">IFERROR(
    INDEX(
        tblPreset[Notes],
        MATCH(1,
            (selCountry = tblPreset[Country]) *
            (B87 = tblPreset[Fee_Name]) *
            (selActivityCat = tblPreset[Activity_Category]),
            0)
    ),
    IFERROR(
        INDEX(
            tblPreset[Notes],
            MATCH(1,
                (selCountry = tblPreset[Country]) *
                (B87 = tblPreset[Fee_Name]) *
                ("ANY" = tblPreset[Activity_Category]),
                0)
        ),
        ""
    )
)</f>
        <v/>
      </c>
      <c r="S53" s="407"/>
      <c r="T53" s="407"/>
      <c r="U53" s="407"/>
      <c r="V53" s="407"/>
      <c r="W53" s="407"/>
      <c r="X53" s="407"/>
      <c r="Y53" s="407"/>
    </row>
    <row r="54" spans="2:25" hidden="1" x14ac:dyDescent="0.15">
      <c r="B54" s="413"/>
      <c r="C54" s="419"/>
      <c r="D54" s="420"/>
      <c r="E54" s="423"/>
      <c r="F54" s="421"/>
      <c r="G54" s="452"/>
      <c r="H54" s="452"/>
      <c r="I54" s="422"/>
      <c r="J54" s="422"/>
      <c r="K54" s="422"/>
      <c r="L54" s="422" t="str" cm="1">
        <f t="array" ref="L54">IFERROR(
    INDEX(
        tblPreset[Unit],
        MATCH(1,
            (selCountry = tblPreset[Country]) *
            (C54 = tblPreset[Fee_Name]) *
            (selActivityCat = tblPreset[Activity_Category]),
            0)
    ),
    IFERROR(
        INDEX(
            tblPreset[Unit],
            MATCH(1,
                (selCountry = tblPreset[Country]) *
                (C54 = tblPreset[Fee_Name]) *
                ("ANY" = tblPreset[Activity_Category]),
                0)
        ),
        ""
    )
)</f>
        <v/>
      </c>
      <c r="M54" s="422" t="s">
        <v>456</v>
      </c>
      <c r="N54" s="466"/>
      <c r="O54" s="423" t="str">
        <f t="shared" si="6"/>
        <v/>
      </c>
      <c r="P54" s="290"/>
      <c r="Q54" s="467" t="str">
        <f t="shared" si="7"/>
        <v/>
      </c>
      <c r="R54" s="425" t="str" cm="1">
        <f t="array" ref="R54">IFERROR(
    INDEX(
        tblPreset[Notes],
        MATCH(1,
            (selCountry = tblPreset[Country]) *
            (B88 = tblPreset[Fee_Name]) *
            (selActivityCat = tblPreset[Activity_Category]),
            0)
    ),
    IFERROR(
        INDEX(
            tblPreset[Notes],
            MATCH(1,
                (selCountry = tblPreset[Country]) *
                (B88 = tblPreset[Fee_Name]) *
                ("ANY" = tblPreset[Activity_Category]),
                0)
        ),
        ""
    )
)</f>
        <v/>
      </c>
      <c r="S54" s="407"/>
      <c r="T54" s="407"/>
      <c r="U54" s="407"/>
      <c r="V54" s="407"/>
      <c r="W54" s="407"/>
      <c r="X54" s="407"/>
      <c r="Y54" s="407"/>
    </row>
    <row r="55" spans="2:25" ht="17" thickBot="1" x14ac:dyDescent="0.2">
      <c r="B55" s="415"/>
      <c r="C55" s="416"/>
      <c r="D55" s="453"/>
      <c r="E55" s="394"/>
      <c r="F55" s="392"/>
      <c r="G55" s="393"/>
      <c r="H55" s="454"/>
      <c r="I55" s="393"/>
      <c r="J55" s="393"/>
      <c r="K55" s="393"/>
      <c r="L55" s="393" t="str" cm="1">
        <f t="array" ref="L55">IFERROR(
    INDEX(
        tblPreset[Unit],
        MATCH(1,
            (selCountry = tblPreset[Country]) *
            (C55 = tblPreset[Fee_Name]) *
            (selActivityCat = tblPreset[Activity_Category]),
            0)
    ),
    IFERROR(
        INDEX(
            tblPreset[Unit],
            MATCH(1,
                (selCountry = tblPreset[Country]) *
                (C55 = tblPreset[Fee_Name]) *
                ("ANY" = tblPreset[Activity_Category]),
                0)
        ),
        ""
    )
)</f>
        <v/>
      </c>
      <c r="M55" s="393"/>
      <c r="N55" s="468" t="str" cm="1">
        <f t="array" ref="N55">IFERROR(INDEX(tblPreset[Unit],MATCH(1, (selCountry=tblPreset[Country]) * (#REF!=tblPreset[Fee_Name]),0)),"")</f>
        <v/>
      </c>
      <c r="O55" s="394" t="str">
        <f t="shared" si="6"/>
        <v/>
      </c>
      <c r="P55" s="288"/>
      <c r="Q55" s="469" t="str">
        <f t="shared" si="7"/>
        <v/>
      </c>
      <c r="R55" s="417"/>
      <c r="S55" s="407"/>
      <c r="T55" s="407"/>
      <c r="U55" s="407"/>
      <c r="V55" s="407"/>
      <c r="W55" s="407"/>
      <c r="X55" s="407"/>
      <c r="Y55" s="407"/>
    </row>
    <row r="56" spans="2:25" ht="17" thickBot="1" x14ac:dyDescent="0.2">
      <c r="B56" s="407"/>
      <c r="C56" s="419"/>
      <c r="D56" s="420"/>
      <c r="E56" s="423"/>
      <c r="F56" s="455"/>
      <c r="G56" s="422"/>
      <c r="H56" s="452"/>
      <c r="I56" s="422"/>
      <c r="J56" s="422"/>
      <c r="K56" s="422"/>
      <c r="L56" s="422"/>
      <c r="M56" s="422"/>
      <c r="N56" s="466"/>
      <c r="O56" s="423"/>
      <c r="P56" s="290"/>
      <c r="Q56" s="467"/>
      <c r="R56" s="420"/>
      <c r="S56" s="407"/>
      <c r="T56" s="407"/>
      <c r="U56" s="407"/>
      <c r="V56" s="407"/>
      <c r="W56" s="407"/>
      <c r="X56" s="407"/>
      <c r="Y56" s="407"/>
    </row>
    <row r="57" spans="2:25" ht="32.25" customHeight="1" thickBot="1" x14ac:dyDescent="0.2">
      <c r="B57" s="72"/>
      <c r="C57" s="73" t="s">
        <v>468</v>
      </c>
      <c r="D57" s="656" t="str">
        <f>IF(selCountry="Test country","Malaysia applies a tax on a percentage of the annual revenue from the sale of carbon credits. Ghana, Kenya and Zimbabwe have not defined a tax on revenue.","")</f>
        <v/>
      </c>
      <c r="E57" s="656"/>
      <c r="F57" s="656"/>
      <c r="G57" s="656"/>
      <c r="H57" s="656"/>
      <c r="I57" s="656"/>
      <c r="J57" s="656"/>
      <c r="K57" s="656"/>
      <c r="L57" s="656"/>
      <c r="M57" s="656"/>
      <c r="N57" s="656"/>
      <c r="O57" s="656"/>
      <c r="P57" s="656"/>
      <c r="Q57" s="656"/>
      <c r="R57" s="39"/>
      <c r="S57" s="407"/>
      <c r="T57" s="407"/>
      <c r="U57" s="407"/>
      <c r="V57" s="407"/>
      <c r="W57" s="407"/>
      <c r="X57" s="363" t="s">
        <v>469</v>
      </c>
      <c r="Y57" s="363" t="s">
        <v>738</v>
      </c>
    </row>
    <row r="58" spans="2:25" x14ac:dyDescent="0.15">
      <c r="B58" s="413"/>
      <c r="C58" s="405"/>
      <c r="D58" s="74"/>
      <c r="E58" s="29"/>
      <c r="F58" s="75"/>
      <c r="G58" s="76"/>
      <c r="H58" s="422"/>
      <c r="I58" s="422"/>
      <c r="J58" s="422"/>
      <c r="K58" s="422"/>
      <c r="L58" s="422" t="str" cm="1">
        <f t="array" ref="L58">IFERROR(
    INDEX(
        tblPreset[Unit],
        MATCH(1,
            (selCountry = tblPreset[Country]) *
            (C57 = tblPreset[Fee_Name]) *
            (selActivityCat = tblPreset[Activity_Category]),
            0)
    ),
    IFERROR(
        INDEX(
            tblPreset[Unit],
            MATCH(1,
                (selCountry = tblPreset[Country]) *
                (C57 = tblPreset[Fee_Name]) *
                ("ANY" = tblPreset[Activity_Category]),
                0)
        ),
        ""
    )
)</f>
        <v/>
      </c>
      <c r="M58" s="422"/>
      <c r="N58" s="466"/>
      <c r="O58" s="423" t="str">
        <f t="shared" si="6"/>
        <v/>
      </c>
      <c r="P58" s="290"/>
      <c r="Q58" s="467" t="str">
        <f t="shared" si="7"/>
        <v/>
      </c>
      <c r="R58" s="425"/>
      <c r="S58" s="407"/>
      <c r="T58" s="407"/>
      <c r="U58" s="407"/>
      <c r="V58" s="407"/>
      <c r="W58" s="407"/>
      <c r="X58" s="359"/>
      <c r="Y58" s="359"/>
    </row>
    <row r="59" spans="2:25" ht="31" thickBot="1" x14ac:dyDescent="0.2">
      <c r="B59" s="413"/>
      <c r="C59" s="79" t="s">
        <v>436</v>
      </c>
      <c r="D59" s="68" t="s">
        <v>437</v>
      </c>
      <c r="E59" s="27" t="s">
        <v>438</v>
      </c>
      <c r="F59" s="69" t="s">
        <v>439</v>
      </c>
      <c r="G59" s="70" t="s">
        <v>440</v>
      </c>
      <c r="H59" s="70" t="s">
        <v>441</v>
      </c>
      <c r="I59" s="70" t="s">
        <v>442</v>
      </c>
      <c r="J59" s="70" t="s">
        <v>443</v>
      </c>
      <c r="K59" s="70" t="s">
        <v>449</v>
      </c>
      <c r="L59" s="70" t="s">
        <v>445</v>
      </c>
      <c r="M59" s="70" t="s">
        <v>446</v>
      </c>
      <c r="N59" s="27" t="s">
        <v>447</v>
      </c>
      <c r="O59" s="27" t="s">
        <v>448</v>
      </c>
      <c r="P59" s="70" t="s">
        <v>449</v>
      </c>
      <c r="Q59" s="27" t="s">
        <v>799</v>
      </c>
      <c r="R59" s="40" t="s">
        <v>450</v>
      </c>
      <c r="S59" s="407"/>
      <c r="T59" s="407"/>
      <c r="U59" s="407"/>
      <c r="V59" s="407"/>
      <c r="W59" s="407"/>
      <c r="X59" s="359"/>
      <c r="Y59" s="359"/>
    </row>
    <row r="60" spans="2:25" x14ac:dyDescent="0.15">
      <c r="B60" s="413"/>
      <c r="C60" s="426" t="str" cm="1">
        <f t="array" ref="C60:C61">IFERROR(
    _xlfn._xlws.SORT(
        _xlfn.UNIQUE(
            _xlfn._xlws.FILTER(
                tblPreset[Fee_Name],
                _xlfn.LET(
                    _xlpm.sectorCondition, IF(selCountry = "Test country",
                                        tblPreset[Sector] = selProjectType,
                                        tblPreset[Sector] = '4.Inputs'!D8),
                    _xlpm.sSector, _xlpm.sectorCondition + (tblPreset[Sector] = "ANY"),
                    _xlpm.sCountry, (tblPreset[Country] = selCountry),        _xlpm.sFeeGroup, (tblPreset[Fee_Group] ="Tax on total revenue"),
                    _xlpm.sActivity, (tblPreset[Activity_Category] = selActivityCat) + (tblPreset[Activity_Category] = "ANY"),
                    _xlpm.sPathway, (tblPreset[Pathway] = "ANY"),
                    _xlpm.sSector * _xlpm.sCountry * _xlpm.sFeeGroup * _xlpm.sActivity * _xlpm.sPathway
                )
            )
        )
    ),
"")</f>
        <v>Custom fee (insert fee name in Column D) 1</v>
      </c>
      <c r="D60" s="462"/>
      <c r="E60" s="457"/>
      <c r="F60" s="429" cm="1">
        <f t="array" ref="F60">IFERROR(
    INDEX(
        tblPreset[Rate_or_Amount],
        MATCH(1,
            (selCountry = tblPreset[Country]) *
            (C60 = tblPreset[Fee_Name]) *
            (selActivityCat = tblPreset[Activity_Category]),
            0)
    ),
    IFERROR(
        INDEX(
            tblPreset[Rate_or_Amount],
            MATCH(1,
                (selCountry = tblPreset[Country]) *
                (C60 = tblPreset[Fee_Name]) *
                ("ANY" = tblPreset[Activity_Category]),
                0)
        ),
        ""
    )
)</f>
        <v>0</v>
      </c>
      <c r="G60" s="470">
        <v>5.0000000000000001E-4</v>
      </c>
      <c r="H60" s="431" t="s">
        <v>378</v>
      </c>
      <c r="I60" s="430" cm="1">
        <f t="array" ref="I60">IFERROR(
    INDEX(
        tblPreset[Fee_Type],
        MATCH(1,
            (selCountry = tblPreset[Country]) *
            (C60 = tblPreset[Fee_Name]) *
            (selActivityCat = tblPreset[Activity_Category]),
            0)
    ),
    IFERROR(
        INDEX(
            tblPreset[Fee_Type],
            MATCH(1,
                (selCountry = tblPreset[Country]) *
                (C60 = tblPreset[Fee_Name]) *
                ("ANY" = tblPreset[Activity_Category]),
                0)
        ),
        ""
    )
)</f>
        <v>0</v>
      </c>
      <c r="J60" s="431" t="s">
        <v>470</v>
      </c>
      <c r="K60" s="432" t="s">
        <v>455</v>
      </c>
      <c r="L60" s="430" cm="1">
        <f t="array" ref="L60">IFERROR(
    INDEX(
        tblPreset[Unit],
        MATCH(1,
            (selCountry = tblPreset[Country]) *
            (C60 = tblPreset[Fee_Name]) *
            (selActivityCat = tblPreset[Activity_Category]),
            0)
    ),
    IFERROR(
        INDEX(
            tblPreset[Unit],
            MATCH(1,
                (selCountry = tblPreset[Country]) *
                (C60 = tblPreset[Fee_Name]) *
                ("ANY" = tblPreset[Activity_Category]),
                0)
        ),
        ""
    )
)</f>
        <v>0</v>
      </c>
      <c r="M60" s="431" t="s">
        <v>456</v>
      </c>
      <c r="N60" s="433" t="str" cm="1">
        <f t="array" aca="1" ref="N60" ca="1">IF(H60="Yes",
   IF(authorized_credits&lt;&gt;0,
      _xlfn.LET(
         _xlpm.source_val,
            IF(gov_source="Preset data", F60,
               IF(gov_source="User input", G60, "")
            ),
         IF(_xlpm.source_val="","",
            _xlfn.SWITCH(
               IF(gov_source="Preset data", I60,
                  IF(gov_source="User input", J60, "")
               ),
               "Fixed",        _xlpm.source_val,
               "Per_Unit",     _xlpm.source_val*
                  INDIRECT(IF(gov_source="Preset data", P60,
                              IF(gov_source="User input", K60, "")
                  )),
               "In_Kind_Pct",
                  INDIRECT(IF(gov_source="Preset data", P60,
                              IF(gov_source="User input", K60, "")
                  )),
               "Percentage",   _xlpm.source_val*
                  INDIRECT(IF(gov_source="Preset data", P60,
                              IF(gov_source="User input", K60, "")
                  )),
               ""
            )
         )
      ),
      0
   ),
   ""
)</f>
        <v/>
      </c>
      <c r="O60" s="433">
        <f ca="1">IFERROR(IF(
N60,
IF(gov_source="User input",
IF(L60&lt;&gt;"In kind",
IF(N60&lt;&gt;"",
IF(ISNUMBER(SEARCH("USD",M60)),
N60,
N60*to_usd
),
""
),
N60
),
IF(L60&lt;&gt;"In kind",
IF(N60&lt;&gt;"",
IF(ISNUMBER(SEARCH("USD",L60)),
N60,
N60*to_usd
),
""
),
N60
)
)),0)</f>
        <v>0</v>
      </c>
      <c r="P60" s="302" cm="1">
        <f t="array" ref="P60">IFERROR(
    INDEX(
        tblPreset[Applies_To],
        MATCH(1,
            (selCountry = tblPreset[Country]) *
            (C60 = tblPreset[Fee_Name]) *
            (selActivityCat = tblPreset[Activity_Category]),
            0)
    ),
    IFERROR(
        INDEX(
            tblPreset[Applies_To],
            MATCH(1,
                (selCountry = tblPreset[Country]) *
                (C60 = tblPreset[Fee_Name]) *
                ("ANY" = tblPreset[Activity_Category]),
                0)
        ),
        ""
    )
)</f>
        <v>0</v>
      </c>
      <c r="Q60" s="471">
        <f t="shared" ref="Q60:Q67" ca="1" si="8">IFERROR(IF(H60="Yes",O60-E60,""),"")</f>
        <v>0</v>
      </c>
      <c r="R60" s="435" cm="1">
        <f t="array" ref="R60">IFERROR(
    INDEX(
        tblPreset[Notes],
        MATCH(1,
            (selCountry = tblPreset[Country]) *
            (C60 = tblPreset[Fee_Name]) *
            (selActivityCat = tblPreset[Activity_Category]),
            0)
    ),
    IFERROR(
        INDEX(
            tblPreset[Notes],
            MATCH(1,
                (selCountry = tblPreset[Country]) *
                (C60 = tblPreset[Fee_Name]) *
                ("ANY" = tblPreset[Activity_Category]),
                0)
        ),
        ""
    )
)</f>
        <v>0</v>
      </c>
      <c r="S60" s="407"/>
      <c r="T60" s="407"/>
      <c r="U60" s="407"/>
      <c r="V60" s="407"/>
      <c r="W60" s="407"/>
      <c r="X60" s="44"/>
      <c r="Y60" s="44"/>
    </row>
    <row r="61" spans="2:25" x14ac:dyDescent="0.15">
      <c r="B61" s="413"/>
      <c r="C61" s="436" t="str">
        <v>Custom fee (insert fee name in Column D) 2</v>
      </c>
      <c r="D61" s="472"/>
      <c r="E61" s="473"/>
      <c r="F61" s="439" cm="1">
        <f t="array" ref="F61">IFERROR(
    INDEX(
        tblPreset[Rate_or_Amount],
        MATCH(1,
            (selCountry = tblPreset[Country]) *
            (C61 = tblPreset[Fee_Name]) *
            (selActivityCat = tblPreset[Activity_Category]),
            0)
    ),
    IFERROR(
        INDEX(
            tblPreset[Rate_or_Amount],
            MATCH(1,
                (selCountry = tblPreset[Country]) *
                (C61 = tblPreset[Fee_Name]) *
                ("ANY" = tblPreset[Activity_Category]),
                0)
        ),
        ""
    )
)</f>
        <v>0</v>
      </c>
      <c r="G61" s="474"/>
      <c r="H61" s="441" t="s">
        <v>378</v>
      </c>
      <c r="I61" s="440" cm="1">
        <f t="array" ref="I61">IFERROR(
    INDEX(
        tblPreset[Fee_Type],
        MATCH(1,
            (selCountry = tblPreset[Country]) *
            (C61 = tblPreset[Fee_Name]) *
            (selActivityCat = tblPreset[Activity_Category]),
            0)
    ),
    IFERROR(
        INDEX(
            tblPreset[Fee_Type],
            MATCH(1,
                (selCountry = tblPreset[Country]) *
                (C61 = tblPreset[Fee_Name]) *
                ("ANY" = tblPreset[Activity_Category]),
                0)
        ),
        ""
    )
)</f>
        <v>0</v>
      </c>
      <c r="J61" s="441" t="s">
        <v>471</v>
      </c>
      <c r="K61" s="442" t="s">
        <v>455</v>
      </c>
      <c r="L61" s="440" cm="1">
        <f t="array" ref="L61">IFERROR(
    INDEX(
        tblPreset[Unit],
        MATCH(1,
            (selCountry = tblPreset[Country]) *
            (C61 = tblPreset[Fee_Name]) *
            (selActivityCat = tblPreset[Activity_Category]),
            0)
    ),
    IFERROR(
        INDEX(
            tblPreset[Unit],
            MATCH(1,
                (selCountry = tblPreset[Country]) *
                (C61 = tblPreset[Fee_Name]) *
                ("ANY" = tblPreset[Activity_Category]),
                0)
        ),
        ""
    )
)</f>
        <v>0</v>
      </c>
      <c r="M61" s="441" t="s">
        <v>456</v>
      </c>
      <c r="N61" s="443" t="str" cm="1">
        <f t="array" aca="1" ref="N61" ca="1">IF(H61="Yes",
   IF(authorized_credits&lt;&gt;0,
      _xlfn.LET(
         _xlpm.source_val,
            IF(gov_source="Preset data", F61,
               IF(gov_source="User input", G61, "")
            ),
         IF(_xlpm.source_val="","",
            _xlfn.SWITCH(
               IF(gov_source="Preset data", I61,
                  IF(gov_source="User input", J61, "")
               ),
               "Fixed",        _xlpm.source_val,
               "Per_Unit",     _xlpm.source_val*
                  INDIRECT(IF(gov_source="Preset data", P61,
                              IF(gov_source="User input", K61, "")
                  )),
               "In_Kind_Pct",
                  INDIRECT(IF(gov_source="Preset data", P61,
                              IF(gov_source="User input", K61, "")
                  )),
               "Percentage",   _xlpm.source_val*
                  INDIRECT(IF(gov_source="Preset data", P61,
                              IF(gov_source="User input", K61, "")
                  )),
               ""
            )
         )
      ),
      0
   ),
   ""
)</f>
        <v/>
      </c>
      <c r="O61" s="443">
        <f ca="1">IFERROR(IF(
N61,
IF(gov_source="User input",
IF(L61&lt;&gt;"In kind",
IF(N61&lt;&gt;"",
IF(ISNUMBER(SEARCH("USD",M61)),
N61,
N61*to_usd
),
""
),
N61
),
IF(L61&lt;&gt;"In kind",
IF(N61&lt;&gt;"",
IF(ISNUMBER(SEARCH("USD",L61)),
N61,
N61*to_usd
),
""
),
N61
)
)),0)</f>
        <v>0</v>
      </c>
      <c r="P61" s="303" cm="1">
        <f t="array" ref="P61">IFERROR(
    INDEX(
        tblPreset[Applies_To],
        MATCH(1,
            (selCountry = tblPreset[Country]) *
            (C61 = tblPreset[Fee_Name]) *
            (selActivityCat = tblPreset[Activity_Category]),
            0)
    ),
    IFERROR(
        INDEX(
            tblPreset[Applies_To],
            MATCH(1,
                (selCountry = tblPreset[Country]) *
                (C61 = tblPreset[Fee_Name]) *
                ("ANY" = tblPreset[Activity_Category]),
                0)
        ),
        ""
    )
)</f>
        <v>0</v>
      </c>
      <c r="Q61" s="475">
        <f t="shared" ca="1" si="8"/>
        <v>0</v>
      </c>
      <c r="R61" s="445" cm="1">
        <f t="array" ref="R61">IFERROR(
    INDEX(
        tblPreset[Notes],
        MATCH(1,
            (selCountry = tblPreset[Country]) *
            (C61 = tblPreset[Fee_Name]) *
            (selActivityCat = tblPreset[Activity_Category]),
            0)
    ),
    IFERROR(
        INDEX(
            tblPreset[Notes],
            MATCH(1,
                (selCountry = tblPreset[Country]) *
                (C61 = tblPreset[Fee_Name]) *
                ("ANY" = tblPreset[Activity_Category]),
                0)
        ),
        ""
    )
)</f>
        <v>0</v>
      </c>
      <c r="S61" s="407"/>
      <c r="T61" s="407"/>
      <c r="U61" s="407"/>
      <c r="V61" s="407"/>
      <c r="W61" s="407"/>
      <c r="X61" s="359"/>
      <c r="Y61" s="359"/>
    </row>
    <row r="62" spans="2:25" hidden="1" x14ac:dyDescent="0.15">
      <c r="B62" s="413"/>
      <c r="C62" s="419"/>
      <c r="D62" s="446"/>
      <c r="E62" s="447"/>
      <c r="F62" s="448" t="str" cm="1">
        <f t="array" ref="F62">IFERROR(
    INDEX(
        tblPreset[Rate_or_Amount],
        MATCH(1,
            (selCountry = tblPreset[Country]) *
            (C62 = tblPreset[Fee_Name]) *
            (selActivityCat = tblPreset[Activity_Category]),
            0)
    ),
    IFERROR(
        INDEX(
            tblPreset[Rate_or_Amount],
            MATCH(1,
                (selCountry = tblPreset[Country]) *
                (C62 = tblPreset[Fee_Name]) *
                ("ANY" = tblPreset[Activity_Category]),
                0)
        ),
        ""
    )
)</f>
        <v/>
      </c>
      <c r="G62" s="476"/>
      <c r="H62" s="449" t="s">
        <v>378</v>
      </c>
      <c r="I62" s="422" t="str" cm="1">
        <f t="array" ref="I62">IFERROR(
    INDEX(
        tblPreset[Fee_Type],
        MATCH(1,
            (selCountry = tblPreset[Country]) *
            (C62 = tblPreset[Fee_Name]) *
            (selActivityCat = tblPreset[Activity_Category]),
            0)
    ),
    IFERROR(
        INDEX(
            tblPreset[Fee_Type],
            MATCH(1,
                (selCountry = tblPreset[Country]) *
                (C62 = tblPreset[Fee_Name]) *
                ("ANY" = tblPreset[Activity_Category]),
                0)
        ),
        ""
    )
)</f>
        <v/>
      </c>
      <c r="J62" s="449" t="s">
        <v>471</v>
      </c>
      <c r="K62" s="459" t="s">
        <v>455</v>
      </c>
      <c r="L62" s="422" t="str" cm="1">
        <f t="array" ref="L62">IFERROR(
    INDEX(
        tblPreset[Unit],
        MATCH(1,
            (selCountry = tblPreset[Country]) *
            (C62 = tblPreset[Fee_Name]) *
            (selActivityCat = tblPreset[Activity_Category]),
            0)
    ),
    IFERROR(
        INDEX(
            tblPreset[Unit],
            MATCH(1,
                (selCountry = tblPreset[Country]) *
                (C62 = tblPreset[Fee_Name]) *
                ("ANY" = tblPreset[Activity_Category]),
                0)
        ),
        ""
    )
)</f>
        <v/>
      </c>
      <c r="M62" s="449" t="s">
        <v>456</v>
      </c>
      <c r="N62" s="450" t="str" cm="1">
        <f t="array" aca="1" ref="N62" ca="1">IF(H62="Yes",
   IF(authorized_credits&lt;&gt;0,
      _xlfn.LET(
         _xlpm.source_val,
            IF(gov_source="Preset data", F62,
               IF(gov_source="User input", G62, "")
            ),
         IF(_xlpm.source_val="","",
            _xlfn.SWITCH(
               IF(gov_source="Preset data", I62,
                  IF(gov_source="User input", J62, "")
               ),
               "Fixed",        _xlpm.source_val,
               "Per_Unit",     _xlpm.source_val*
                  INDIRECT(IF(gov_source="Preset data", P62,
                              IF(gov_source="User input", K62, "")
                  )),
               "In_Kind_Pct",
                  INDIRECT(IF(gov_source="Preset data", P62,
                              IF(gov_source="User input", K62, "")
                  )),
               "Percentage",   _xlpm.source_val*
                  INDIRECT(IF(gov_source="Preset data", P62,
                              IF(gov_source="User input", K62, "")
                  )),
               ""
            )
         )
      ),
      0
   ),
   ""
)</f>
        <v/>
      </c>
      <c r="O62" s="450">
        <f ca="1">IFERROR(IF(
N62,
IF(gov_source="User input",
IF(L62&lt;&gt;"In kind",
IF(N62&lt;&gt;"",
IF(ISNUMBER(SEARCH("USD",M62)),
N62,
N62*to_usd
),
""
),
N62
),
IF(L62&lt;&gt;"In kind",
IF(N62&lt;&gt;"",
IF(ISNUMBER(SEARCH("USD",L62)),
N62,
N62*to_usd
),
""
),
N62
)
)),0)</f>
        <v>0</v>
      </c>
      <c r="P62" s="304" t="str" cm="1">
        <f t="array" ref="P62">IFERROR(
    INDEX(
        tblPreset[Applies_To],
        MATCH(1,
            (selCountry = tblPreset[Country]) *
            (C62 = tblPreset[Fee_Name]) *
            (selActivityCat = tblPreset[Activity_Category]),
            0)
    ),
    IFERROR(
        INDEX(
            tblPreset[Applies_To],
            MATCH(1,
                (selCountry = tblPreset[Country]) *
                (C62 = tblPreset[Fee_Name]) *
                ("ANY" = tblPreset[Activity_Category]),
                0)
        ),
        ""
    )
)</f>
        <v/>
      </c>
      <c r="Q62" s="477">
        <f t="shared" ca="1" si="8"/>
        <v>0</v>
      </c>
      <c r="R62" s="425" t="str" cm="1">
        <f t="array" ref="R62">IFERROR(
    INDEX(
        tblPreset[Notes],
        MATCH(1,
            (selCountry = tblPreset[Country]) *
            (C62 = tblPreset[Fee_Name]) *
            (selActivityCat = tblPreset[Activity_Category]),
            0)
    ),
    IFERROR(
        INDEX(
            tblPreset[Notes],
            MATCH(1,
                (selCountry = tblPreset[Country]) *
                (C62 = tblPreset[Fee_Name]) *
                ("ANY" = tblPreset[Activity_Category]),
                0)
        ),
        ""
    )
)</f>
        <v/>
      </c>
      <c r="S62" s="407"/>
      <c r="T62" s="407"/>
      <c r="U62" s="407"/>
      <c r="V62" s="407"/>
      <c r="W62" s="407"/>
      <c r="X62" s="359"/>
      <c r="Y62" s="359"/>
    </row>
    <row r="63" spans="2:25" hidden="1" x14ac:dyDescent="0.15">
      <c r="B63" s="413"/>
      <c r="C63" s="419"/>
      <c r="D63" s="446"/>
      <c r="E63" s="447"/>
      <c r="F63" s="448" t="str" cm="1">
        <f t="array" ref="F63">IFERROR(
    INDEX(
        tblPreset[Rate_or_Amount],
        MATCH(1,
            (selCountry = tblPreset[Country]) *
            (C63 = tblPreset[Fee_Name]) *
            (selActivityCat = tblPreset[Activity_Category]),
            0)
    ),
    IFERROR(
        INDEX(
            tblPreset[Rate_or_Amount],
            MATCH(1,
                (selCountry = tblPreset[Country]) *
                (C63 = tblPreset[Fee_Name]) *
                ("ANY" = tblPreset[Activity_Category]),
                0)
        ),
        ""
    )
)</f>
        <v/>
      </c>
      <c r="G63" s="476"/>
      <c r="H63" s="449" t="s">
        <v>378</v>
      </c>
      <c r="I63" s="422" t="str" cm="1">
        <f t="array" ref="I63">IFERROR(
    INDEX(
        tblPreset[Fee_Type],
        MATCH(1,
            (selCountry = tblPreset[Country]) *
            (C63 = tblPreset[Fee_Name]) *
            (selActivityCat = tblPreset[Activity_Category]),
            0)
    ),
    IFERROR(
        INDEX(
            tblPreset[Fee_Type],
            MATCH(1,
                (selCountry = tblPreset[Country]) *
                (C63 = tblPreset[Fee_Name]) *
                ("ANY" = tblPreset[Activity_Category]),
                0)
        ),
        ""
    )
)</f>
        <v/>
      </c>
      <c r="J63" s="449" t="s">
        <v>471</v>
      </c>
      <c r="K63" s="459" t="s">
        <v>455</v>
      </c>
      <c r="L63" s="422" t="str" cm="1">
        <f t="array" ref="L63">IFERROR(
    INDEX(
        tblPreset[Unit],
        MATCH(1,
            (selCountry = tblPreset[Country]) *
            (C63 = tblPreset[Fee_Name]) *
            (selActivityCat = tblPreset[Activity_Category]),
            0)
    ),
    IFERROR(
        INDEX(
            tblPreset[Unit],
            MATCH(1,
                (selCountry = tblPreset[Country]) *
                (C63 = tblPreset[Fee_Name]) *
                ("ANY" = tblPreset[Activity_Category]),
                0)
        ),
        ""
    )
)</f>
        <v/>
      </c>
      <c r="M63" s="449" t="s">
        <v>456</v>
      </c>
      <c r="N63" s="450" t="str" cm="1">
        <f t="array" aca="1" ref="N63" ca="1">IF(H63="Yes",
   IF(authorized_credits&lt;&gt;0,
      _xlfn.LET(
         _xlpm.source_val,
            IF(gov_source="Preset data", F63,
               IF(gov_source="User input", G63, "")
            ),
         IF(_xlpm.source_val="","",
            _xlfn.SWITCH(
               IF(gov_source="Preset data", I63,
                  IF(gov_source="User input", J63, "")
               ),
               "Fixed",        _xlpm.source_val,
               "Per_Unit",     _xlpm.source_val*
                  INDIRECT(IF(gov_source="Preset data", P63,
                              IF(gov_source="User input", K63, "")
                  )),
               "In_Kind_Pct",
                  INDIRECT(IF(gov_source="Preset data", P63,
                              IF(gov_source="User input", K63, "")
                  )),
               "Percentage",   _xlpm.source_val*
                  INDIRECT(IF(gov_source="Preset data", P63,
                              IF(gov_source="User input", K63, "")
                  )),
               ""
            )
         )
      ),
      0
   ),
   ""
)</f>
        <v/>
      </c>
      <c r="O63" s="450">
        <f ca="1">IFERROR(IF(
N63,
IF(gov_source="User input",
IF(L63&lt;&gt;"In kind",
IF(N63&lt;&gt;"",
IF(ISNUMBER(SEARCH("USD",M63)),
N63,
N63*to_usd
),
""
),
N63
),
IF(L63&lt;&gt;"In kind",
IF(N63&lt;&gt;"",
IF(ISNUMBER(SEARCH("USD",L63)),
N63,
N63*to_usd
),
""
),
N63
)
)),0)</f>
        <v>0</v>
      </c>
      <c r="P63" s="304" t="str" cm="1">
        <f t="array" ref="P63">IFERROR(
    INDEX(
        tblPreset[Applies_To],
        MATCH(1,
            (selCountry = tblPreset[Country]) *
            (C63 = tblPreset[Fee_Name]) *
            (selActivityCat = tblPreset[Activity_Category]),
            0)
    ),
    IFERROR(
        INDEX(
            tblPreset[Applies_To],
            MATCH(1,
                (selCountry = tblPreset[Country]) *
                (C63 = tblPreset[Fee_Name]) *
                ("ANY" = tblPreset[Activity_Category]),
                0)
        ),
        ""
    )
)</f>
        <v/>
      </c>
      <c r="Q63" s="477">
        <f t="shared" ca="1" si="8"/>
        <v>0</v>
      </c>
      <c r="R63" s="425" t="str" cm="1">
        <f t="array" ref="R63">IFERROR(
    INDEX(
        tblPreset[Notes],
        MATCH(1,
            (selCountry = tblPreset[Country]) *
            (C63 = tblPreset[Fee_Name]) *
            (selActivityCat = tblPreset[Activity_Category]),
            0)
    ),
    IFERROR(
        INDEX(
            tblPreset[Notes],
            MATCH(1,
                (selCountry = tblPreset[Country]) *
                (C63 = tblPreset[Fee_Name]) *
                ("ANY" = tblPreset[Activity_Category]),
                0)
        ),
        ""
    )
)</f>
        <v/>
      </c>
      <c r="S63" s="407"/>
      <c r="T63" s="407"/>
      <c r="U63" s="407"/>
      <c r="V63" s="407"/>
      <c r="W63" s="407"/>
      <c r="X63" s="359"/>
      <c r="Y63" s="359"/>
    </row>
    <row r="64" spans="2:25" hidden="1" x14ac:dyDescent="0.15">
      <c r="B64" s="413"/>
      <c r="C64" s="419"/>
      <c r="D64" s="446"/>
      <c r="E64" s="447"/>
      <c r="F64" s="448" t="str" cm="1">
        <f t="array" ref="F64">IFERROR(
    INDEX(
        tblPreset[Rate_or_Amount],
        MATCH(1,
            (selCountry = tblPreset[Country]) *
            (C64 = tblPreset[Fee_Name]) *
            (selActivityCat = tblPreset[Activity_Category]),
            0)
    ),
    IFERROR(
        INDEX(
            tblPreset[Rate_or_Amount],
            MATCH(1,
                (selCountry = tblPreset[Country]) *
                (C64 = tblPreset[Fee_Name]) *
                ("ANY" = tblPreset[Activity_Category]),
                0)
        ),
        ""
    )
)</f>
        <v/>
      </c>
      <c r="G64" s="476"/>
      <c r="H64" s="449" t="s">
        <v>378</v>
      </c>
      <c r="I64" s="422" t="str" cm="1">
        <f t="array" ref="I64">IFERROR(
    INDEX(
        tblPreset[Fee_Type],
        MATCH(1,
            (selCountry = tblPreset[Country]) *
            (C64 = tblPreset[Fee_Name]) *
            (selActivityCat = tblPreset[Activity_Category]),
            0)
    ),
    IFERROR(
        INDEX(
            tblPreset[Fee_Type],
            MATCH(1,
                (selCountry = tblPreset[Country]) *
                (C64 = tblPreset[Fee_Name]) *
                ("ANY" = tblPreset[Activity_Category]),
                0)
        ),
        ""
    )
)</f>
        <v/>
      </c>
      <c r="J64" s="449" t="s">
        <v>471</v>
      </c>
      <c r="K64" s="459" t="s">
        <v>455</v>
      </c>
      <c r="L64" s="422" t="str" cm="1">
        <f t="array" ref="L64">IFERROR(
    INDEX(
        tblPreset[Unit],
        MATCH(1,
            (selCountry = tblPreset[Country]) *
            (C64 = tblPreset[Fee_Name]) *
            (selActivityCat = tblPreset[Activity_Category]),
            0)
    ),
    IFERROR(
        INDEX(
            tblPreset[Unit],
            MATCH(1,
                (selCountry = tblPreset[Country]) *
                (C64 = tblPreset[Fee_Name]) *
                ("ANY" = tblPreset[Activity_Category]),
                0)
        ),
        ""
    )
)</f>
        <v/>
      </c>
      <c r="M64" s="449" t="s">
        <v>458</v>
      </c>
      <c r="N64" s="450" t="str" cm="1">
        <f t="array" aca="1" ref="N64" ca="1">IF(H64="Yes",
   IF(authorized_credits&lt;&gt;0,
      _xlfn.LET(
         _xlpm.source_val,
            IF(gov_source="Preset data", F64,
               IF(gov_source="User input", G64, "")
            ),
         IF(_xlpm.source_val="","",
            _xlfn.SWITCH(
               IF(gov_source="Preset data", I64,
                  IF(gov_source="User input", J64, "")
               ),
               "Fixed",        _xlpm.source_val,
               "Per_Unit",     _xlpm.source_val*
                  INDIRECT(IF(gov_source="Preset data", P64,
                              IF(gov_source="User input", K64, "")
                  )),
               "In_Kind_Pct",
                  INDIRECT(IF(gov_source="Preset data", P64,
                              IF(gov_source="User input", K64, "")
                  )),
               "Percentage",   _xlpm.source_val*
                  INDIRECT(IF(gov_source="Preset data", P64,
                              IF(gov_source="User input", K64, "")
                  )),
               ""
            )
         )
      ),
      0
   ),
   ""
)</f>
        <v/>
      </c>
      <c r="O64" s="450">
        <f ca="1">IFERROR(IF(
N64,
IF(gov_source="User input",
IF(L64&lt;&gt;"In kind",
IF(N64&lt;&gt;"",
IF(ISNUMBER(SEARCH("USD",M64)),
N64,
N64*to_usd
),
""
),
N64
),
IF(L64&lt;&gt;"In kind",
IF(N64&lt;&gt;"",
IF(ISNUMBER(SEARCH("USD",L64)),
N64,
N64*to_usd
),
""
),
N64
)
)),0)</f>
        <v>0</v>
      </c>
      <c r="P64" s="304" t="str" cm="1">
        <f t="array" ref="P64">IFERROR(
    INDEX(
        tblPreset[Applies_To],
        MATCH(1,
            (selCountry = tblPreset[Country]) *
            (C64 = tblPreset[Fee_Name]) *
            (selActivityCat = tblPreset[Activity_Category]),
            0)
    ),
    IFERROR(
        INDEX(
            tblPreset[Applies_To],
            MATCH(1,
                (selCountry = tblPreset[Country]) *
                (C64 = tblPreset[Fee_Name]) *
                ("ANY" = tblPreset[Activity_Category]),
                0)
        ),
        ""
    )
)</f>
        <v/>
      </c>
      <c r="Q64" s="477">
        <f t="shared" ca="1" si="8"/>
        <v>0</v>
      </c>
      <c r="R64" s="425" t="str" cm="1">
        <f t="array" ref="R64">IFERROR(
    INDEX(
        tblPreset[Notes],
        MATCH(1,
            (selCountry = tblPreset[Country]) *
            (C64 = tblPreset[Fee_Name]) *
            (selActivityCat = tblPreset[Activity_Category]),
            0)
    ),
    IFERROR(
        INDEX(
            tblPreset[Notes],
            MATCH(1,
                (selCountry = tblPreset[Country]) *
                (C64 = tblPreset[Fee_Name]) *
                ("ANY" = tblPreset[Activity_Category]),
                0)
        ),
        ""
    )
)</f>
        <v/>
      </c>
      <c r="S64" s="407"/>
      <c r="T64" s="407"/>
      <c r="U64" s="407"/>
      <c r="V64" s="407"/>
      <c r="W64" s="407"/>
      <c r="X64" s="407"/>
      <c r="Y64" s="407"/>
    </row>
    <row r="65" spans="1:25" hidden="1" x14ac:dyDescent="0.15">
      <c r="A65" s="405"/>
      <c r="B65" s="478"/>
      <c r="C65" s="419"/>
      <c r="D65" s="420"/>
      <c r="E65" s="423"/>
      <c r="F65" s="421"/>
      <c r="G65" s="422"/>
      <c r="H65" s="422" t="s">
        <v>378</v>
      </c>
      <c r="I65" s="422"/>
      <c r="J65" s="422"/>
      <c r="K65" s="422" t="s">
        <v>467</v>
      </c>
      <c r="L65" s="422"/>
      <c r="M65" s="422" t="s">
        <v>456</v>
      </c>
      <c r="N65" s="423"/>
      <c r="O65" s="423" t="str">
        <f>IF(L65&lt;&gt;"In kind",IF(N65&lt;&gt;"",IF(ISNUMBER(SEARCH("USD", L65)), N65, N65 * to_usd),""),N65)</f>
        <v/>
      </c>
      <c r="P65" s="290"/>
      <c r="Q65" s="467" t="str">
        <f t="shared" si="8"/>
        <v/>
      </c>
      <c r="R65" s="425"/>
      <c r="S65" s="407"/>
      <c r="T65" s="407"/>
      <c r="U65" s="407"/>
      <c r="V65" s="407"/>
      <c r="W65" s="407"/>
      <c r="X65" s="407"/>
      <c r="Y65" s="407"/>
    </row>
    <row r="66" spans="1:25" hidden="1" x14ac:dyDescent="0.15">
      <c r="A66" s="405"/>
      <c r="B66" s="478"/>
      <c r="C66" s="419"/>
      <c r="D66" s="420"/>
      <c r="E66" s="423"/>
      <c r="F66" s="421"/>
      <c r="G66" s="422"/>
      <c r="H66" s="422" t="s">
        <v>378</v>
      </c>
      <c r="I66" s="422"/>
      <c r="J66" s="422"/>
      <c r="K66" s="422"/>
      <c r="L66" s="422"/>
      <c r="M66" s="422" t="s">
        <v>456</v>
      </c>
      <c r="N66" s="423"/>
      <c r="O66" s="423" t="str">
        <f>IF(L66&lt;&gt;"In kind",IF(N66&lt;&gt;"",IF(ISNUMBER(SEARCH("USD", L66)), N66, N66 * to_usd),""),N66)</f>
        <v/>
      </c>
      <c r="P66" s="290"/>
      <c r="Q66" s="467" t="str">
        <f t="shared" si="8"/>
        <v/>
      </c>
      <c r="R66" s="425"/>
      <c r="S66" s="407"/>
      <c r="T66" s="407"/>
      <c r="U66" s="407"/>
      <c r="V66" s="407"/>
      <c r="W66" s="407"/>
      <c r="X66" s="407"/>
      <c r="Y66" s="407"/>
    </row>
    <row r="67" spans="1:25" hidden="1" x14ac:dyDescent="0.15">
      <c r="A67" s="405"/>
      <c r="B67" s="478"/>
      <c r="C67" s="419"/>
      <c r="D67" s="420"/>
      <c r="E67" s="423"/>
      <c r="F67" s="421"/>
      <c r="G67" s="422"/>
      <c r="H67" s="422" t="s">
        <v>378</v>
      </c>
      <c r="I67" s="422"/>
      <c r="J67" s="422"/>
      <c r="K67" s="422"/>
      <c r="L67" s="422"/>
      <c r="M67" s="422" t="s">
        <v>456</v>
      </c>
      <c r="N67" s="423"/>
      <c r="O67" s="423" t="str">
        <f>IF(L67&lt;&gt;"In kind",IF(N67&lt;&gt;"",IF(ISNUMBER(SEARCH("USD", L67)), N67, N67 * to_usd),""),N67)</f>
        <v/>
      </c>
      <c r="P67" s="290"/>
      <c r="Q67" s="467" t="str">
        <f t="shared" si="8"/>
        <v/>
      </c>
      <c r="R67" s="425"/>
      <c r="S67" s="407"/>
      <c r="T67" s="407"/>
      <c r="U67" s="407"/>
      <c r="V67" s="407"/>
      <c r="W67" s="407"/>
      <c r="X67" s="407"/>
      <c r="Y67" s="407"/>
    </row>
    <row r="68" spans="1:25" hidden="1" x14ac:dyDescent="0.15">
      <c r="A68" s="405"/>
      <c r="B68" s="478"/>
      <c r="C68" s="419"/>
      <c r="D68" s="420"/>
      <c r="E68" s="423"/>
      <c r="F68" s="421"/>
      <c r="G68" s="422"/>
      <c r="H68" s="422" t="s">
        <v>378</v>
      </c>
      <c r="I68" s="422"/>
      <c r="J68" s="422"/>
      <c r="K68" s="422"/>
      <c r="L68" s="422"/>
      <c r="M68" s="422" t="s">
        <v>456</v>
      </c>
      <c r="N68" s="423"/>
      <c r="O68" s="423"/>
      <c r="P68" s="290"/>
      <c r="Q68" s="467"/>
      <c r="R68" s="425"/>
      <c r="S68" s="407"/>
      <c r="T68" s="407"/>
      <c r="U68" s="407"/>
      <c r="V68" s="407"/>
      <c r="W68" s="407"/>
      <c r="X68" s="407"/>
      <c r="Y68" s="407"/>
    </row>
    <row r="69" spans="1:25" ht="17" thickBot="1" x14ac:dyDescent="0.2">
      <c r="A69" s="407"/>
      <c r="B69" s="415"/>
      <c r="C69" s="416"/>
      <c r="D69" s="453"/>
      <c r="E69" s="394"/>
      <c r="F69" s="392"/>
      <c r="G69" s="393"/>
      <c r="H69" s="393"/>
      <c r="I69" s="393"/>
      <c r="J69" s="393"/>
      <c r="K69" s="393"/>
      <c r="L69" s="393"/>
      <c r="M69" s="393"/>
      <c r="N69" s="394"/>
      <c r="O69" s="394"/>
      <c r="P69" s="288"/>
      <c r="Q69" s="469"/>
      <c r="R69" s="417"/>
      <c r="S69" s="407"/>
      <c r="T69" s="407"/>
      <c r="U69" s="407"/>
      <c r="V69" s="407"/>
      <c r="W69" s="407"/>
      <c r="X69" s="407"/>
      <c r="Y69" s="407"/>
    </row>
    <row r="70" spans="1:25" x14ac:dyDescent="0.15">
      <c r="A70" s="407"/>
      <c r="B70" s="407"/>
      <c r="C70" s="419"/>
      <c r="D70" s="420"/>
      <c r="E70" s="423"/>
      <c r="F70" s="455"/>
      <c r="G70" s="422"/>
      <c r="H70" s="422"/>
      <c r="I70" s="422"/>
      <c r="J70" s="422"/>
      <c r="K70" s="422"/>
      <c r="L70" s="422"/>
      <c r="M70" s="422"/>
      <c r="N70" s="423"/>
      <c r="O70" s="423"/>
      <c r="P70" s="290"/>
      <c r="Q70" s="467"/>
      <c r="R70" s="420"/>
      <c r="S70" s="407"/>
      <c r="T70" s="407"/>
      <c r="U70" s="407"/>
      <c r="V70" s="407"/>
      <c r="W70" s="407"/>
      <c r="X70" s="407"/>
      <c r="Y70" s="407"/>
    </row>
    <row r="71" spans="1:25" x14ac:dyDescent="0.15">
      <c r="A71" s="407"/>
      <c r="B71" s="407"/>
      <c r="C71" s="419"/>
      <c r="D71" s="74"/>
      <c r="E71" s="305"/>
      <c r="F71" s="455"/>
      <c r="G71" s="422"/>
      <c r="H71" s="422"/>
      <c r="I71" s="422"/>
      <c r="J71" s="422"/>
      <c r="K71" s="422"/>
      <c r="L71" s="422"/>
      <c r="M71" s="422"/>
      <c r="N71" s="423"/>
      <c r="O71" s="423"/>
      <c r="P71" s="290"/>
      <c r="Q71" s="467"/>
      <c r="R71" s="420"/>
      <c r="S71" s="407"/>
      <c r="T71" s="407"/>
      <c r="U71" s="407"/>
      <c r="V71" s="407"/>
      <c r="W71" s="407"/>
      <c r="X71" s="407"/>
      <c r="Y71" s="407"/>
    </row>
    <row r="72" spans="1:25" x14ac:dyDescent="0.15">
      <c r="A72" s="407"/>
      <c r="B72" s="407"/>
      <c r="C72" s="419"/>
      <c r="D72" s="74"/>
      <c r="E72" s="305"/>
      <c r="F72" s="455"/>
      <c r="G72" s="422"/>
      <c r="H72" s="422"/>
      <c r="I72" s="422"/>
      <c r="J72" s="422"/>
      <c r="K72" s="422"/>
      <c r="L72" s="422"/>
      <c r="M72" s="422"/>
      <c r="N72" s="423"/>
      <c r="O72" s="423"/>
      <c r="P72" s="290"/>
      <c r="Q72" s="467"/>
      <c r="R72" s="420"/>
      <c r="S72" s="407"/>
      <c r="T72" s="407"/>
      <c r="U72" s="407"/>
      <c r="V72" s="407"/>
      <c r="W72" s="407"/>
      <c r="X72" s="407"/>
      <c r="Y72" s="407"/>
    </row>
    <row r="73" spans="1:25" x14ac:dyDescent="0.15">
      <c r="A73" s="407"/>
      <c r="B73" s="407"/>
      <c r="C73" s="404"/>
      <c r="D73" s="402"/>
      <c r="E73" s="306"/>
      <c r="F73" s="388"/>
      <c r="G73" s="389"/>
      <c r="H73" s="389"/>
      <c r="I73" s="389"/>
      <c r="J73" s="389"/>
      <c r="K73" s="422"/>
      <c r="L73" s="389"/>
      <c r="M73" s="389"/>
      <c r="N73" s="390"/>
      <c r="O73" s="390"/>
      <c r="Q73" s="479"/>
      <c r="R73" s="402"/>
      <c r="S73" s="405"/>
      <c r="T73" s="405"/>
      <c r="U73" s="405"/>
      <c r="V73" s="405"/>
      <c r="W73" s="405"/>
      <c r="X73" s="405"/>
      <c r="Y73" s="405"/>
    </row>
    <row r="74" spans="1:25" x14ac:dyDescent="0.15">
      <c r="A74" s="407"/>
      <c r="B74" s="407"/>
      <c r="C74" s="404"/>
      <c r="D74" s="402"/>
      <c r="E74" s="306"/>
      <c r="F74" s="388"/>
      <c r="G74" s="389"/>
      <c r="H74" s="389"/>
      <c r="I74" s="389"/>
      <c r="J74" s="389"/>
      <c r="K74" s="422"/>
      <c r="L74" s="389"/>
      <c r="M74" s="389"/>
      <c r="N74" s="390"/>
      <c r="O74" s="390"/>
      <c r="Q74" s="479"/>
      <c r="R74" s="402"/>
      <c r="S74" s="405"/>
      <c r="T74" s="405"/>
      <c r="U74" s="405"/>
      <c r="V74" s="405"/>
      <c r="W74" s="405"/>
      <c r="X74" s="405"/>
      <c r="Y74" s="405"/>
    </row>
    <row r="75" spans="1:25" x14ac:dyDescent="0.15">
      <c r="A75" s="407"/>
      <c r="B75" s="407"/>
      <c r="C75" s="404"/>
      <c r="D75" s="402"/>
      <c r="E75" s="306"/>
      <c r="F75" s="388"/>
      <c r="G75" s="389"/>
      <c r="H75" s="389"/>
      <c r="I75" s="389"/>
      <c r="J75" s="389"/>
      <c r="K75" s="422"/>
      <c r="L75" s="389"/>
      <c r="M75" s="389"/>
      <c r="N75" s="390"/>
      <c r="O75" s="390"/>
      <c r="Q75" s="479"/>
      <c r="R75" s="402"/>
      <c r="S75" s="405"/>
      <c r="T75" s="405"/>
      <c r="U75" s="405"/>
      <c r="V75" s="405"/>
      <c r="W75" s="405"/>
      <c r="X75" s="405"/>
      <c r="Y75" s="405"/>
    </row>
    <row r="76" spans="1:25" x14ac:dyDescent="0.15">
      <c r="A76" s="407"/>
      <c r="B76" s="407"/>
      <c r="C76" s="404"/>
      <c r="D76" s="402"/>
      <c r="E76" s="306"/>
      <c r="F76" s="388"/>
      <c r="G76" s="389"/>
      <c r="H76" s="389"/>
      <c r="I76" s="389"/>
      <c r="J76" s="389"/>
      <c r="K76" s="422"/>
      <c r="L76" s="389"/>
      <c r="M76" s="389"/>
      <c r="N76" s="390"/>
      <c r="O76" s="390"/>
      <c r="Q76" s="479"/>
      <c r="R76" s="402"/>
      <c r="S76" s="405"/>
      <c r="T76" s="405"/>
      <c r="U76" s="405"/>
      <c r="V76" s="405"/>
      <c r="W76" s="405"/>
      <c r="X76" s="405"/>
      <c r="Y76" s="405"/>
    </row>
    <row r="77" spans="1:25" x14ac:dyDescent="0.15">
      <c r="A77" s="407"/>
      <c r="B77" s="407"/>
      <c r="C77" s="404"/>
      <c r="D77" s="402"/>
      <c r="E77" s="307"/>
      <c r="F77" s="388"/>
      <c r="G77" s="389"/>
      <c r="H77" s="389"/>
      <c r="I77" s="389"/>
      <c r="J77" s="389"/>
      <c r="K77" s="422"/>
      <c r="L77" s="389"/>
      <c r="M77" s="389"/>
      <c r="N77" s="390"/>
      <c r="O77" s="390"/>
      <c r="Q77" s="479"/>
      <c r="R77" s="402"/>
      <c r="S77" s="405"/>
      <c r="T77" s="405"/>
      <c r="U77" s="405"/>
      <c r="V77" s="405"/>
      <c r="W77" s="405"/>
      <c r="X77" s="405"/>
      <c r="Y77" s="405"/>
    </row>
    <row r="78" spans="1:25" x14ac:dyDescent="0.15">
      <c r="A78" s="407"/>
      <c r="B78" s="407"/>
      <c r="C78" s="404"/>
      <c r="D78" s="402"/>
      <c r="E78" s="390"/>
      <c r="F78" s="388"/>
      <c r="G78" s="389"/>
      <c r="H78" s="389"/>
      <c r="I78" s="389"/>
      <c r="J78" s="389"/>
      <c r="K78" s="422"/>
      <c r="L78" s="389"/>
      <c r="M78" s="389"/>
      <c r="N78" s="390"/>
      <c r="O78" s="390"/>
      <c r="Q78" s="479"/>
      <c r="R78" s="402"/>
      <c r="S78" s="405"/>
      <c r="T78" s="405"/>
      <c r="U78" s="405"/>
      <c r="V78" s="405"/>
      <c r="W78" s="405"/>
      <c r="X78" s="405"/>
      <c r="Y78" s="405"/>
    </row>
    <row r="79" spans="1:25" x14ac:dyDescent="0.15">
      <c r="A79" s="407"/>
      <c r="B79" s="407"/>
      <c r="C79" s="404"/>
      <c r="D79" s="402"/>
      <c r="E79" s="390"/>
      <c r="F79" s="388"/>
      <c r="G79" s="389"/>
      <c r="H79" s="389"/>
      <c r="I79" s="389"/>
      <c r="J79" s="389"/>
      <c r="K79" s="422"/>
      <c r="L79" s="389"/>
      <c r="M79" s="389"/>
      <c r="N79" s="390"/>
      <c r="O79" s="390"/>
      <c r="Q79" s="479"/>
      <c r="R79" s="402"/>
      <c r="S79" s="405"/>
      <c r="T79" s="405"/>
      <c r="U79" s="405"/>
      <c r="V79" s="405"/>
      <c r="W79" s="405"/>
      <c r="X79" s="405"/>
      <c r="Y79" s="405"/>
    </row>
    <row r="80" spans="1:25" x14ac:dyDescent="0.15">
      <c r="A80" s="407"/>
      <c r="B80" s="407"/>
      <c r="C80" s="404"/>
      <c r="D80" s="402"/>
      <c r="E80" s="390"/>
      <c r="F80" s="388"/>
      <c r="G80" s="389"/>
      <c r="H80" s="389"/>
      <c r="I80" s="389"/>
      <c r="J80" s="389"/>
      <c r="K80" s="422"/>
      <c r="L80" s="389"/>
      <c r="M80" s="389"/>
      <c r="N80" s="390"/>
      <c r="O80" s="390"/>
      <c r="Q80" s="479"/>
      <c r="R80" s="402"/>
      <c r="S80" s="405"/>
      <c r="T80" s="405"/>
      <c r="U80" s="405"/>
      <c r="V80" s="405"/>
      <c r="W80" s="405"/>
      <c r="X80" s="405"/>
      <c r="Y80" s="405"/>
    </row>
    <row r="81" spans="2:17" x14ac:dyDescent="0.15">
      <c r="B81" s="405"/>
      <c r="C81" s="404"/>
      <c r="D81" s="402"/>
      <c r="E81" s="390"/>
      <c r="F81" s="388"/>
      <c r="G81" s="389"/>
      <c r="H81" s="389"/>
      <c r="I81" s="389"/>
      <c r="J81" s="389"/>
      <c r="K81" s="422"/>
      <c r="L81" s="389"/>
      <c r="M81" s="389"/>
      <c r="N81" s="390"/>
      <c r="O81" s="390"/>
      <c r="Q81" s="479"/>
    </row>
    <row r="82" spans="2:17" x14ac:dyDescent="0.15">
      <c r="B82" s="405"/>
      <c r="C82" s="404"/>
      <c r="D82" s="402"/>
      <c r="E82" s="390"/>
      <c r="F82" s="388"/>
      <c r="G82" s="389"/>
      <c r="H82" s="389"/>
      <c r="I82" s="389"/>
      <c r="J82" s="389"/>
      <c r="K82" s="422"/>
      <c r="L82" s="389"/>
      <c r="M82" s="389"/>
      <c r="N82" s="390"/>
      <c r="O82" s="390"/>
      <c r="Q82" s="479"/>
    </row>
    <row r="85" spans="2:17" x14ac:dyDescent="0.15">
      <c r="B85" s="405"/>
      <c r="C85" s="404"/>
      <c r="D85" s="402"/>
      <c r="E85" s="390"/>
      <c r="F85" s="388"/>
      <c r="G85" s="389"/>
      <c r="H85" s="389"/>
      <c r="I85" s="389"/>
      <c r="J85" s="389"/>
      <c r="K85" s="422"/>
      <c r="L85" s="389"/>
      <c r="M85" s="389"/>
      <c r="N85" s="390"/>
      <c r="O85" s="390"/>
      <c r="Q85" s="479"/>
    </row>
    <row r="86" spans="2:17" x14ac:dyDescent="0.15">
      <c r="B86" s="405"/>
      <c r="C86" s="404"/>
      <c r="D86" s="402"/>
      <c r="E86" s="390"/>
      <c r="F86" s="388"/>
      <c r="G86" s="389"/>
      <c r="H86" s="389"/>
      <c r="I86" s="389"/>
      <c r="J86" s="389"/>
      <c r="K86" s="422"/>
      <c r="L86" s="389"/>
      <c r="M86" s="389"/>
      <c r="N86" s="390"/>
      <c r="O86" s="390"/>
      <c r="Q86" s="479"/>
    </row>
    <row r="87" spans="2:17" x14ac:dyDescent="0.15">
      <c r="B87" s="405"/>
      <c r="C87" s="404"/>
      <c r="D87" s="402"/>
      <c r="E87" s="390"/>
      <c r="F87" s="388"/>
      <c r="G87" s="389"/>
      <c r="H87" s="389"/>
      <c r="I87" s="389"/>
      <c r="J87" s="389"/>
      <c r="K87" s="422"/>
      <c r="L87" s="389"/>
      <c r="M87" s="389"/>
      <c r="N87" s="390"/>
      <c r="O87" s="390"/>
      <c r="Q87" s="479"/>
    </row>
    <row r="92" spans="2:17" x14ac:dyDescent="0.2">
      <c r="B92" s="308"/>
      <c r="C92" s="404"/>
      <c r="D92" s="402"/>
      <c r="E92" s="390"/>
      <c r="F92" s="388"/>
      <c r="G92" s="389"/>
      <c r="H92" s="389"/>
      <c r="I92" s="389"/>
      <c r="J92" s="389"/>
      <c r="K92" s="422"/>
      <c r="L92" s="389"/>
      <c r="M92" s="389"/>
      <c r="N92" s="390"/>
      <c r="O92" s="390"/>
      <c r="Q92" s="406"/>
    </row>
    <row r="93" spans="2:17" x14ac:dyDescent="0.2">
      <c r="B93" s="308"/>
      <c r="C93" s="404"/>
      <c r="D93" s="402"/>
      <c r="E93" s="390"/>
      <c r="F93" s="388"/>
      <c r="G93" s="389"/>
      <c r="H93" s="389"/>
      <c r="I93" s="389"/>
      <c r="J93" s="389"/>
      <c r="K93" s="422"/>
      <c r="L93" s="389"/>
      <c r="M93" s="389"/>
      <c r="N93" s="390"/>
      <c r="O93" s="390"/>
      <c r="Q93" s="406"/>
    </row>
    <row r="94" spans="2:17" x14ac:dyDescent="0.2">
      <c r="B94" s="308"/>
      <c r="C94" s="404"/>
      <c r="D94" s="402"/>
      <c r="E94" s="390"/>
      <c r="F94" s="388"/>
      <c r="G94" s="389"/>
      <c r="H94" s="389"/>
      <c r="I94" s="389"/>
      <c r="J94" s="389"/>
      <c r="K94" s="422"/>
      <c r="L94" s="389"/>
      <c r="M94" s="389"/>
      <c r="N94" s="390"/>
      <c r="O94" s="390"/>
      <c r="Q94" s="406"/>
    </row>
    <row r="95" spans="2:17" x14ac:dyDescent="0.2">
      <c r="B95" s="308"/>
      <c r="C95" s="404"/>
      <c r="D95" s="402"/>
      <c r="E95" s="390"/>
      <c r="F95" s="388"/>
      <c r="G95" s="389"/>
      <c r="H95" s="389"/>
      <c r="I95" s="389"/>
      <c r="J95" s="389"/>
      <c r="K95" s="422"/>
      <c r="L95" s="389"/>
      <c r="M95" s="389"/>
      <c r="N95" s="390"/>
      <c r="O95" s="390"/>
      <c r="Q95" s="406"/>
    </row>
    <row r="96" spans="2:17" x14ac:dyDescent="0.2">
      <c r="B96" s="308"/>
      <c r="C96" s="404"/>
      <c r="D96" s="402"/>
      <c r="E96" s="390"/>
      <c r="F96" s="388"/>
      <c r="G96" s="389"/>
      <c r="H96" s="389"/>
      <c r="I96" s="389"/>
      <c r="J96" s="389"/>
      <c r="K96" s="422"/>
      <c r="L96" s="389"/>
      <c r="M96" s="389"/>
      <c r="N96" s="390"/>
      <c r="O96" s="390"/>
      <c r="Q96" s="406"/>
    </row>
    <row r="97" spans="2:6" x14ac:dyDescent="0.2">
      <c r="B97" s="308"/>
      <c r="C97" s="404"/>
      <c r="D97" s="402"/>
      <c r="E97" s="390"/>
      <c r="F97" s="388"/>
    </row>
    <row r="98" spans="2:6" x14ac:dyDescent="0.2">
      <c r="B98" s="308"/>
      <c r="C98" s="404"/>
      <c r="D98" s="402"/>
      <c r="E98" s="390"/>
      <c r="F98" s="388"/>
    </row>
    <row r="105" spans="2:6" x14ac:dyDescent="0.15">
      <c r="B105" s="405"/>
      <c r="C105" s="80"/>
      <c r="D105" s="309"/>
      <c r="E105" s="307"/>
      <c r="F105" s="310"/>
    </row>
    <row r="106" spans="2:6" x14ac:dyDescent="0.15">
      <c r="B106" s="405"/>
      <c r="C106" s="81"/>
      <c r="D106" s="311"/>
      <c r="E106" s="312"/>
      <c r="F106" s="313"/>
    </row>
    <row r="107" spans="2:6" x14ac:dyDescent="0.15">
      <c r="B107" s="405"/>
      <c r="C107" s="81"/>
      <c r="D107" s="311"/>
      <c r="E107" s="312"/>
      <c r="F107" s="313"/>
    </row>
    <row r="109" spans="2:6" x14ac:dyDescent="0.15">
      <c r="B109" s="405"/>
      <c r="C109" s="81"/>
      <c r="D109" s="311"/>
      <c r="E109" s="312"/>
      <c r="F109" s="388"/>
    </row>
  </sheetData>
  <sheetProtection algorithmName="SHA-512" hashValue="XVdo4OvjVDrLX49eGKW3rso10nieAvy0tEIAgQlsJOX2Q/MAued7hBZnvsl6XyPU4IAH8OGQP3F9lN7zAyNq7Q==" saltValue="ALQdawHdmwQ4mefAjNkRPg==" spinCount="100000" sheet="1" formatCells="0" formatColumns="0" formatRows="0" selectLockedCells="1"/>
  <mergeCells count="10">
    <mergeCell ref="D13:Q13"/>
    <mergeCell ref="D28:Q28"/>
    <mergeCell ref="D41:Q41"/>
    <mergeCell ref="D57:Q57"/>
    <mergeCell ref="X14:X15"/>
    <mergeCell ref="Y14:Y15"/>
    <mergeCell ref="X18:X19"/>
    <mergeCell ref="Y18:Y19"/>
    <mergeCell ref="X20:X21"/>
    <mergeCell ref="Y20:Y21"/>
  </mergeCells>
  <conditionalFormatting sqref="A1 A113:A1048576">
    <cfRule type="expression" dxfId="83" priority="68">
      <formula>ndc_cover="No"</formula>
    </cfRule>
  </conditionalFormatting>
  <conditionalFormatting sqref="D16:D26">
    <cfRule type="expression" dxfId="82" priority="92">
      <formula>C16&lt;&gt;""</formula>
    </cfRule>
  </conditionalFormatting>
  <conditionalFormatting sqref="D60:D69 G44:G54 G60 D31:D40 D44:D56">
    <cfRule type="expression" dxfId="81" priority="115">
      <formula>C31&lt;&gt;""</formula>
    </cfRule>
  </conditionalFormatting>
  <conditionalFormatting sqref="E16:E26 E60:E69 E31:E40 E44:E56">
    <cfRule type="expression" dxfId="80" priority="91">
      <formula>C16&lt;&gt;""</formula>
    </cfRule>
  </conditionalFormatting>
  <conditionalFormatting sqref="F16:F26 F31:F40 F44:F56">
    <cfRule type="expression" dxfId="79" priority="90">
      <formula>C16&lt;&gt;""</formula>
    </cfRule>
  </conditionalFormatting>
  <conditionalFormatting sqref="F44:F51 F60:F65">
    <cfRule type="expression" dxfId="78" priority="112">
      <formula>L44="In kind"</formula>
    </cfRule>
  </conditionalFormatting>
  <conditionalFormatting sqref="G16:G26 G31:G40 G44:G56">
    <cfRule type="expression" dxfId="77" priority="89">
      <formula>C16&lt;&gt;""</formula>
    </cfRule>
  </conditionalFormatting>
  <conditionalFormatting sqref="H16:H26">
    <cfRule type="expression" dxfId="76" priority="88">
      <formula>C16&lt;&gt;""</formula>
    </cfRule>
  </conditionalFormatting>
  <conditionalFormatting sqref="H31:H40">
    <cfRule type="expression" dxfId="75" priority="80">
      <formula>C31&lt;&gt;""</formula>
    </cfRule>
  </conditionalFormatting>
  <conditionalFormatting sqref="H44:H51 H60:H68">
    <cfRule type="expression" dxfId="74" priority="113">
      <formula>C44&lt;&gt;""</formula>
    </cfRule>
    <cfRule type="expression" dxfId="73" priority="114">
      <formula>C44=""</formula>
    </cfRule>
  </conditionalFormatting>
  <conditionalFormatting sqref="H53:H56">
    <cfRule type="expression" dxfId="72" priority="129">
      <formula>#REF!&lt;&gt;""</formula>
    </cfRule>
  </conditionalFormatting>
  <conditionalFormatting sqref="I31:I37 I50:K54 I66:K68 I44:I49 I60:I65 I38:K40">
    <cfRule type="expression" dxfId="71" priority="63">
      <formula>C31&lt;&gt;""</formula>
    </cfRule>
  </conditionalFormatting>
  <conditionalFormatting sqref="J65">
    <cfRule type="expression" dxfId="70" priority="58">
      <formula>D65&lt;&gt;""</formula>
    </cfRule>
  </conditionalFormatting>
  <conditionalFormatting sqref="J37:K37 J31:J36">
    <cfRule type="expression" dxfId="69" priority="45">
      <formula>D31&lt;&gt;""</formula>
    </cfRule>
    <cfRule type="expression" dxfId="68" priority="46">
      <formula>E31&lt;&gt;""</formula>
    </cfRule>
  </conditionalFormatting>
  <conditionalFormatting sqref="J44:J49">
    <cfRule type="expression" dxfId="67" priority="43">
      <formula>D44&lt;&gt;""</formula>
    </cfRule>
    <cfRule type="expression" dxfId="66" priority="44">
      <formula>E44&lt;&gt;""</formula>
    </cfRule>
  </conditionalFormatting>
  <conditionalFormatting sqref="J60:J64">
    <cfRule type="expression" dxfId="65" priority="41">
      <formula>D60&lt;&gt;""</formula>
    </cfRule>
    <cfRule type="expression" dxfId="64" priority="42">
      <formula>E60&lt;&gt;""</formula>
    </cfRule>
  </conditionalFormatting>
  <conditionalFormatting sqref="L16:M26 L44:M54 L60:M68 L31:M40">
    <cfRule type="expression" dxfId="63" priority="64">
      <formula>C16&lt;&gt;""</formula>
    </cfRule>
  </conditionalFormatting>
  <conditionalFormatting sqref="N16:N26 N31:N38 N44:N56">
    <cfRule type="expression" dxfId="62" priority="87">
      <formula>C16&lt;&gt;""</formula>
    </cfRule>
  </conditionalFormatting>
  <conditionalFormatting sqref="O65:O67">
    <cfRule type="expression" dxfId="61" priority="95">
      <formula>N65="In kind"</formula>
    </cfRule>
  </conditionalFormatting>
  <conditionalFormatting sqref="N65:N68">
    <cfRule type="expression" dxfId="60" priority="56">
      <formula>C65&lt;&gt;""</formula>
    </cfRule>
  </conditionalFormatting>
  <conditionalFormatting sqref="O16:O26 O31:O40 O44:O56">
    <cfRule type="expression" dxfId="59" priority="86">
      <formula>C16&lt;&gt;""</formula>
    </cfRule>
  </conditionalFormatting>
  <conditionalFormatting sqref="O65:O67">
    <cfRule type="expression" dxfId="58" priority="94">
      <formula>N65="USD"</formula>
    </cfRule>
  </conditionalFormatting>
  <conditionalFormatting sqref="O65:O67">
    <cfRule type="expression" dxfId="57" priority="104">
      <formula>F65&lt;&gt;""</formula>
    </cfRule>
  </conditionalFormatting>
  <conditionalFormatting sqref="Q16:Q26 Q31:Q40 Q44:Q56">
    <cfRule type="expression" dxfId="56" priority="85">
      <formula>C16&lt;&gt;""</formula>
    </cfRule>
  </conditionalFormatting>
  <conditionalFormatting sqref="R16:R26">
    <cfRule type="expression" dxfId="55" priority="53">
      <formula>I16&lt;&gt;""</formula>
    </cfRule>
  </conditionalFormatting>
  <conditionalFormatting sqref="R60:R68 R31:R40">
    <cfRule type="expression" dxfId="54" priority="52">
      <formula>C31&lt;&gt;""</formula>
    </cfRule>
  </conditionalFormatting>
  <conditionalFormatting sqref="R44:R56">
    <cfRule type="expression" dxfId="53" priority="50">
      <formula>I44&lt;&gt;""</formula>
    </cfRule>
  </conditionalFormatting>
  <conditionalFormatting sqref="F66:F69">
    <cfRule type="expression" dxfId="52" priority="40">
      <formula>C66&lt;&gt;""</formula>
    </cfRule>
  </conditionalFormatting>
  <conditionalFormatting sqref="G60:G70">
    <cfRule type="expression" dxfId="51" priority="39">
      <formula>C60&lt;&gt;""</formula>
    </cfRule>
  </conditionalFormatting>
  <conditionalFormatting sqref="R44:R49">
    <cfRule type="expression" dxfId="50" priority="38">
      <formula>C44&lt;&gt;""</formula>
    </cfRule>
  </conditionalFormatting>
  <conditionalFormatting sqref="O65:O69">
    <cfRule type="expression" dxfId="49" priority="37">
      <formula>C65&lt;&gt;""</formula>
    </cfRule>
  </conditionalFormatting>
  <conditionalFormatting sqref="Q65:Q70">
    <cfRule type="expression" dxfId="48" priority="36">
      <formula>C65&lt;&gt;""</formula>
    </cfRule>
  </conditionalFormatting>
  <conditionalFormatting sqref="M16:M24 M31:M40 M44:M56">
    <cfRule type="expression" dxfId="47" priority="35">
      <formula>C16&lt;&gt;""</formula>
    </cfRule>
  </conditionalFormatting>
  <conditionalFormatting sqref="M60:M69">
    <cfRule type="expression" dxfId="46" priority="32">
      <formula>C60&lt;&gt;""</formula>
    </cfRule>
  </conditionalFormatting>
  <conditionalFormatting sqref="J31:J36 J37:K40 J50:K56">
    <cfRule type="expression" dxfId="45" priority="30">
      <formula>C31&lt;&gt;""</formula>
    </cfRule>
  </conditionalFormatting>
  <conditionalFormatting sqref="J44:J49">
    <cfRule type="expression" dxfId="44" priority="29">
      <formula>C44&lt;&gt;""</formula>
    </cfRule>
  </conditionalFormatting>
  <conditionalFormatting sqref="J66:K69 J60:J65">
    <cfRule type="expression" dxfId="43" priority="28">
      <formula>C60&lt;&gt;""</formula>
    </cfRule>
  </conditionalFormatting>
  <conditionalFormatting sqref="I16:I24">
    <cfRule type="expression" dxfId="42" priority="27">
      <formula>C16&lt;&gt;""</formula>
    </cfRule>
  </conditionalFormatting>
  <conditionalFormatting sqref="J16:J24">
    <cfRule type="expression" dxfId="41" priority="26">
      <formula>C16&lt;&gt;""</formula>
    </cfRule>
  </conditionalFormatting>
  <conditionalFormatting sqref="K16:K24">
    <cfRule type="expression" dxfId="40" priority="2">
      <formula>J16="Fixed"</formula>
    </cfRule>
    <cfRule type="expression" dxfId="39" priority="25">
      <formula>C16&lt;&gt;""</formula>
    </cfRule>
  </conditionalFormatting>
  <conditionalFormatting sqref="F60:F65">
    <cfRule type="expression" dxfId="38" priority="24">
      <formula>C60&lt;&gt;""</formula>
    </cfRule>
  </conditionalFormatting>
  <conditionalFormatting sqref="M31:M36">
    <cfRule type="expression" dxfId="37" priority="20">
      <formula>C31&lt;&gt;""</formula>
    </cfRule>
  </conditionalFormatting>
  <conditionalFormatting sqref="M44:M49">
    <cfRule type="expression" dxfId="36" priority="19">
      <formula>C44&lt;&gt;""</formula>
    </cfRule>
  </conditionalFormatting>
  <conditionalFormatting sqref="M44:M49">
    <cfRule type="expression" dxfId="35" priority="18">
      <formula>C44&lt;&gt;""</formula>
    </cfRule>
  </conditionalFormatting>
  <conditionalFormatting sqref="M60:M68">
    <cfRule type="expression" dxfId="34" priority="17">
      <formula>C60&lt;&gt;""</formula>
    </cfRule>
  </conditionalFormatting>
  <conditionalFormatting sqref="M60:M68">
    <cfRule type="expression" dxfId="33" priority="16">
      <formula>C60&lt;&gt;""</formula>
    </cfRule>
  </conditionalFormatting>
  <conditionalFormatting sqref="M60:M68">
    <cfRule type="expression" dxfId="32" priority="15">
      <formula>C60&lt;&gt;""</formula>
    </cfRule>
  </conditionalFormatting>
  <conditionalFormatting sqref="N60:N64">
    <cfRule type="expression" dxfId="31" priority="14">
      <formula>C60&lt;&gt;""</formula>
    </cfRule>
  </conditionalFormatting>
  <conditionalFormatting sqref="O60:O64">
    <cfRule type="expression" dxfId="30" priority="3">
      <formula>C60&lt;&gt;""</formula>
    </cfRule>
    <cfRule type="expression" dxfId="29" priority="13">
      <formula>C60&lt;&gt;""</formula>
    </cfRule>
  </conditionalFormatting>
  <conditionalFormatting sqref="Q60:Q64">
    <cfRule type="expression" dxfId="28" priority="12">
      <formula>C60&lt;&gt;""</formula>
    </cfRule>
  </conditionalFormatting>
  <conditionalFormatting sqref="Q16:Q26">
    <cfRule type="expression" dxfId="27" priority="9">
      <formula>C16&lt;&gt;""</formula>
    </cfRule>
  </conditionalFormatting>
  <conditionalFormatting sqref="O16:O26 O60:O75 O31:O40 O42 O44:O56 O58">
    <cfRule type="expression" dxfId="26" priority="8">
      <formula>C16&lt;&gt;""</formula>
    </cfRule>
  </conditionalFormatting>
  <conditionalFormatting sqref="O60:O64">
    <cfRule type="expression" dxfId="25" priority="7">
      <formula>C60&lt;&gt;""</formula>
    </cfRule>
  </conditionalFormatting>
  <conditionalFormatting sqref="O60:O64">
    <cfRule type="expression" dxfId="24" priority="6">
      <formula>C60&lt;&gt;""</formula>
    </cfRule>
  </conditionalFormatting>
  <conditionalFormatting sqref="O60:O64">
    <cfRule type="expression" dxfId="23" priority="5">
      <formula>C60&lt;&gt;""</formula>
    </cfRule>
  </conditionalFormatting>
  <conditionalFormatting sqref="O60:O64">
    <cfRule type="expression" dxfId="22" priority="4">
      <formula>C60&lt;&gt;""</formula>
    </cfRule>
  </conditionalFormatting>
  <conditionalFormatting sqref="C10">
    <cfRule type="containsText" dxfId="21" priority="1" operator="containsText" text="Preset Data">
      <formula>NOT(ISERROR(SEARCH("Preset Data",C10)))</formula>
    </cfRule>
  </conditionalFormatting>
  <conditionalFormatting sqref="Q29 Q31:Q40">
    <cfRule type="expression" dxfId="20" priority="140">
      <formula>C28&lt;&gt;""</formula>
    </cfRule>
  </conditionalFormatting>
  <conditionalFormatting sqref="O29">
    <cfRule type="expression" dxfId="19" priority="141">
      <formula>C28&lt;&gt;""</formula>
    </cfRule>
  </conditionalFormatting>
  <conditionalFormatting sqref="Q42 Q44:Q56">
    <cfRule type="expression" dxfId="18" priority="143">
      <formula>C40&lt;&gt;""</formula>
    </cfRule>
  </conditionalFormatting>
  <conditionalFormatting sqref="Q58 Q60:Q64">
    <cfRule type="expression" dxfId="17" priority="145">
      <formula>C55&lt;&gt;""</formula>
    </cfRule>
  </conditionalFormatting>
  <dataValidations count="9">
    <dataValidation allowBlank="1" showInputMessage="1" showErrorMessage="1" promptTitle="Insert a custom fee name" prompt="Type in your custom fees you would like to test in this column._x000a_" sqref="D15 D30 D43 D59" xr:uid="{60109C46-E447-1D49-950A-3E870A98201A}"/>
    <dataValidation allowBlank="1" showInputMessage="1" showErrorMessage="1" promptTitle="Cost to governments (Optional)" prompt="Include any costs related to the custom fee you have included. This allows you to see the net benefit of your efforts." sqref="E15 E30 E43 E59" xr:uid="{6156BAAA-136A-AB45-9728-D6576C889D51}"/>
    <dataValidation allowBlank="1" showInputMessage="1" showErrorMessage="1" promptTitle="Fee" prompt="This fee is taken from countries with preset data incorporated in the tool (see 1. User Guide for list of countries with preset data). This fee is charged to the project developer." sqref="F15 F30 F43 F59" xr:uid="{6AAC8AC8-1EB6-7941-A26A-B9460683D7DF}"/>
    <dataValidation allowBlank="1" showInputMessage="1" showErrorMessage="1" promptTitle="Insert Fee" prompt="Insert the fee amount here._x000a_" sqref="G15 G30 G43 G59" xr:uid="{4A7F6FB5-59D2-E741-961D-6FA682863A75}"/>
    <dataValidation allowBlank="1" showInputMessage="1" showErrorMessage="1" promptTitle="Choose Yes or No" prompt="This column allows you to choose whether you would like to include or remove certain fees." sqref="H15 H30 H43 H59" xr:uid="{013B9214-DF29-F44A-910F-CCC9F73B68A9}"/>
    <dataValidation allowBlank="1" showInputMessage="1" showErrorMessage="1" promptTitle="Fee Type" prompt="This column shows you which fee type corresponds to the fee selected. Fixed, in-Kind, Per Unit." sqref="I15 I30 I43 I59" xr:uid="{465ADFD8-F9D3-E04D-B279-EB4699B8DE3F}"/>
    <dataValidation allowBlank="1" showInputMessage="1" showErrorMessage="1" promptTitle="Fee type" prompt="Select the fee type corresponding to the fee or levy you've included in column D. Fee types can be Fixed, in-Kind, Per Unit." sqref="J59 J30 J43" xr:uid="{AF8D60F6-1E41-7D4B-823C-EE290F53E9AF}"/>
    <dataValidation allowBlank="1" showInputMessage="1" showErrorMessage="1" promptTitle="Fee application" prompt="This column shows you how your fee is applied. It can be applied to authorized credits, non-authorized credits, annual revenue, annual credits. (e.g., Per Unit fees can be applid to total annual revenue)." sqref="K15 K30 K43 K59" xr:uid="{10FF7EFF-ED51-9F45-BE63-9F47AA26D360}"/>
    <dataValidation allowBlank="1" showInputMessage="1" showErrorMessage="1" promptTitle="Fee type" prompt="Select the fee type corresponding to the fee or levy you've included in column D. Fee types can be Fixed, in-Kind, Per Unit, Percentages." sqref="J15" xr:uid="{E91BD049-0055-5940-B902-4009584FFD32}"/>
  </dataValidations>
  <pageMargins left="0.7" right="0.7" top="0.75" bottom="0.75" header="0.3" footer="0.3"/>
  <pageSetup paperSize="9" orientation="portrait" horizontalDpi="4294967293" verticalDpi="0"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AF9C6F10-AEC3-43F2-9762-23A5E2B8CC5C}">
          <x14:formula1>
            <xm:f>'Support Table'!$N$2:$N$3</xm:f>
          </x14:formula1>
          <xm:sqref>H44:H51 H31:H38 H16:H25 H60:H68</xm:sqref>
        </x14:dataValidation>
        <x14:dataValidation type="list" allowBlank="1" showInputMessage="1" showErrorMessage="1" xr:uid="{EB4D5E6B-B822-4208-8F79-8E4F6CC9EACC}">
          <x14:formula1>
            <xm:f>'Support Table'!$K$2:$K$5</xm:f>
          </x14:formula1>
          <xm:sqref>J44:J49 J60:J64 J31:J36 J16:J24</xm:sqref>
        </x14:dataValidation>
        <x14:dataValidation type="list" allowBlank="1" showInputMessage="1" showErrorMessage="1" promptTitle="Select Preset Data or User Input" prompt="If your country has data already included in the tool, please select Preset Data. If you would like to test fees and levies for any project, select User Input._x000a_" xr:uid="{0E2329EA-AAE7-4E88-B38E-026987189FEC}">
          <x14:formula1>
            <xm:f>'Support Table'!$J$2:$J$3</xm:f>
          </x14:formula1>
          <xm:sqref>C10</xm:sqref>
        </x14:dataValidation>
        <x14:dataValidation type="list" allowBlank="1" showInputMessage="1" showErrorMessage="1" xr:uid="{E2397698-392E-41D2-9E70-9899639D6CB8}">
          <x14:formula1>
            <xm:f>'Support Table'!$L$2:$L$6</xm:f>
          </x14:formula1>
          <xm:sqref>K65</xm:sqref>
        </x14:dataValidation>
        <x14:dataValidation type="list" allowBlank="1" showInputMessage="1" showErrorMessage="1" xr:uid="{51977C54-2786-4244-84AE-DA263B338A18}">
          <x14:formula1>
            <xm:f>'Support Table'!$M$2:$M$3</xm:f>
          </x14:formula1>
          <xm:sqref>M16:M24 M31:M36 M44:M49 M60:M68</xm:sqref>
        </x14:dataValidation>
        <x14:dataValidation type="list" allowBlank="1" showInputMessage="1" showErrorMessage="1" xr:uid="{78E58BC8-5BBA-4578-931A-0F421C722A7B}">
          <x14:formula1>
            <xm:f>'Support Table'!$L$2:$L$5</xm:f>
          </x14:formula1>
          <xm:sqref>K16:K24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6064D-CDD1-2A44-8E25-2188A7A76ABC}">
  <sheetPr codeName="Sheet8">
    <tabColor theme="9" tint="0.39997558519241921"/>
  </sheetPr>
  <dimension ref="B1:T23"/>
  <sheetViews>
    <sheetView showGridLines="0" zoomScale="168" zoomScaleNormal="142" workbookViewId="0">
      <selection activeCell="D7" sqref="D7"/>
    </sheetView>
  </sheetViews>
  <sheetFormatPr baseColWidth="10" defaultColWidth="11.140625" defaultRowHeight="16" x14ac:dyDescent="0.2"/>
  <cols>
    <col min="1" max="1" width="4.7109375" style="192" customWidth="1"/>
    <col min="2" max="2" width="1.28515625" style="287" customWidth="1"/>
    <col min="3" max="3" width="54.85546875" style="287" customWidth="1"/>
    <col min="4" max="4" width="13.85546875" style="287" customWidth="1"/>
    <col min="5" max="5" width="6.140625" style="287" customWidth="1"/>
    <col min="6" max="7" width="15.28515625" style="287" customWidth="1"/>
    <col min="8" max="9" width="33.28515625" style="287" customWidth="1"/>
    <col min="10" max="10" width="17.28515625" style="192" customWidth="1"/>
    <col min="11" max="11" width="21.28515625" style="192" customWidth="1"/>
    <col min="12" max="16384" width="11.140625" style="192"/>
  </cols>
  <sheetData>
    <row r="1" spans="2:20" x14ac:dyDescent="0.2">
      <c r="B1" s="562"/>
    </row>
    <row r="2" spans="2:20" ht="75" customHeight="1" x14ac:dyDescent="0.2">
      <c r="B2" s="659" t="s">
        <v>472</v>
      </c>
      <c r="C2" s="659"/>
      <c r="D2" s="659"/>
      <c r="E2" s="659"/>
      <c r="F2" s="659"/>
      <c r="G2" s="659"/>
      <c r="H2" s="659"/>
      <c r="I2" s="47"/>
      <c r="J2" s="47"/>
      <c r="K2" s="47"/>
      <c r="L2" s="191"/>
      <c r="M2" s="191"/>
      <c r="N2" s="191"/>
      <c r="O2" s="191"/>
      <c r="P2" s="191"/>
      <c r="Q2" s="191"/>
      <c r="R2" s="191"/>
      <c r="S2" s="191"/>
      <c r="T2" s="191"/>
    </row>
    <row r="3" spans="2:20" ht="17" thickBot="1" x14ac:dyDescent="0.25">
      <c r="B3" s="563" t="s">
        <v>813</v>
      </c>
      <c r="J3" s="287"/>
      <c r="K3" s="287"/>
    </row>
    <row r="4" spans="2:20" ht="31.5" customHeight="1" x14ac:dyDescent="0.2">
      <c r="B4" s="314"/>
      <c r="C4" s="660" t="s">
        <v>473</v>
      </c>
      <c r="D4" s="660"/>
      <c r="E4" s="660"/>
      <c r="F4" s="660"/>
      <c r="G4" s="660"/>
      <c r="H4" s="660"/>
      <c r="I4" s="273"/>
      <c r="J4" s="273"/>
      <c r="K4" s="273"/>
      <c r="L4" s="63"/>
      <c r="M4" s="63"/>
      <c r="N4" s="63"/>
      <c r="O4" s="63"/>
      <c r="P4" s="63"/>
      <c r="Q4" s="63"/>
      <c r="R4" s="63"/>
      <c r="S4" s="63"/>
      <c r="T4" s="63"/>
    </row>
    <row r="5" spans="2:20" ht="49" customHeight="1" x14ac:dyDescent="0.2">
      <c r="B5" s="315"/>
      <c r="C5" s="560"/>
      <c r="D5" s="357"/>
      <c r="E5" s="357"/>
      <c r="F5" s="646" t="s">
        <v>810</v>
      </c>
      <c r="G5" s="646"/>
      <c r="H5" s="646"/>
      <c r="I5" s="646" t="s">
        <v>811</v>
      </c>
      <c r="J5" s="646"/>
      <c r="K5" s="657"/>
      <c r="L5" s="405"/>
      <c r="M5" s="405"/>
      <c r="N5" s="480"/>
      <c r="O5" s="480"/>
      <c r="P5" s="405"/>
      <c r="Q5" s="405"/>
      <c r="R5" s="405"/>
      <c r="S5" s="405"/>
      <c r="T5" s="316"/>
    </row>
    <row r="6" spans="2:20" x14ac:dyDescent="0.2">
      <c r="B6" s="315"/>
      <c r="C6" s="404"/>
      <c r="D6" s="404"/>
      <c r="E6" s="404"/>
      <c r="F6" s="646" t="s">
        <v>474</v>
      </c>
      <c r="G6" s="646"/>
      <c r="H6" s="646"/>
      <c r="I6" s="646" t="s">
        <v>761</v>
      </c>
      <c r="J6" s="646"/>
      <c r="K6" s="657"/>
      <c r="L6" s="405"/>
      <c r="M6" s="405"/>
      <c r="N6" s="480"/>
      <c r="O6" s="480"/>
      <c r="P6" s="405"/>
      <c r="Q6" s="405"/>
      <c r="R6" s="405"/>
      <c r="S6" s="405"/>
      <c r="T6" s="316"/>
    </row>
    <row r="7" spans="2:20" x14ac:dyDescent="0.2">
      <c r="B7" s="315"/>
      <c r="C7" s="526" t="s">
        <v>475</v>
      </c>
      <c r="D7" s="481"/>
      <c r="E7" s="404" t="s">
        <v>456</v>
      </c>
      <c r="F7" s="646"/>
      <c r="G7" s="646"/>
      <c r="H7" s="646"/>
      <c r="I7" s="646"/>
      <c r="J7" s="646"/>
      <c r="K7" s="657"/>
      <c r="L7" s="405"/>
      <c r="M7" s="405"/>
      <c r="N7" s="480"/>
      <c r="O7" s="480"/>
      <c r="P7" s="405"/>
      <c r="Q7" s="405"/>
      <c r="R7" s="405"/>
      <c r="S7" s="405"/>
      <c r="T7" s="316"/>
    </row>
    <row r="8" spans="2:20" x14ac:dyDescent="0.2">
      <c r="B8" s="315"/>
      <c r="C8" s="482" t="s">
        <v>476</v>
      </c>
      <c r="D8" s="483">
        <f>SUM('5.F&amp;L_Calculations'!E16:E69)</f>
        <v>0</v>
      </c>
      <c r="E8" s="404" t="s">
        <v>456</v>
      </c>
      <c r="F8" s="648" t="s">
        <v>477</v>
      </c>
      <c r="G8" s="648"/>
      <c r="H8" s="648"/>
      <c r="I8" s="648" t="s">
        <v>763</v>
      </c>
      <c r="J8" s="648"/>
      <c r="K8" s="658"/>
      <c r="L8" s="405"/>
      <c r="M8" s="405"/>
      <c r="N8" s="480"/>
      <c r="O8" s="480"/>
      <c r="P8" s="405"/>
      <c r="Q8" s="405"/>
      <c r="R8" s="405"/>
      <c r="S8" s="405"/>
      <c r="T8" s="316"/>
    </row>
    <row r="9" spans="2:20" x14ac:dyDescent="0.2">
      <c r="B9" s="315"/>
      <c r="C9" s="527" t="s">
        <v>478</v>
      </c>
      <c r="D9" s="484"/>
      <c r="E9" s="404" t="s">
        <v>456</v>
      </c>
      <c r="F9" s="371" t="s">
        <v>479</v>
      </c>
      <c r="G9" s="404"/>
      <c r="H9" s="404"/>
      <c r="I9" s="371" t="s">
        <v>762</v>
      </c>
      <c r="J9" s="404"/>
      <c r="K9" s="485"/>
      <c r="L9" s="405"/>
      <c r="M9" s="405"/>
      <c r="N9" s="480"/>
      <c r="O9" s="480"/>
      <c r="P9" s="405"/>
      <c r="Q9" s="405"/>
      <c r="R9" s="405"/>
      <c r="S9" s="405"/>
      <c r="T9" s="316"/>
    </row>
    <row r="10" spans="2:20" x14ac:dyDescent="0.2">
      <c r="B10" s="315"/>
      <c r="C10" s="482" t="s">
        <v>480</v>
      </c>
      <c r="D10" s="483">
        <f>-SUM(D7:D9)</f>
        <v>0</v>
      </c>
      <c r="E10" s="404" t="s">
        <v>456</v>
      </c>
      <c r="F10" s="545"/>
      <c r="G10" s="404"/>
      <c r="H10" s="404"/>
      <c r="I10" s="545"/>
      <c r="J10" s="404"/>
      <c r="K10" s="485"/>
      <c r="L10" s="405"/>
      <c r="M10" s="405"/>
      <c r="N10" s="480"/>
      <c r="O10" s="480"/>
      <c r="P10" s="405"/>
      <c r="Q10" s="405"/>
      <c r="R10" s="405"/>
      <c r="S10" s="405"/>
      <c r="T10" s="316"/>
    </row>
    <row r="11" spans="2:20" x14ac:dyDescent="0.2">
      <c r="B11" s="315"/>
      <c r="C11" s="482" t="s">
        <v>481</v>
      </c>
      <c r="D11" s="483">
        <f>IF('4.Inputs'!D12&gt;0,D10*'4.Inputs'!D12,D10)</f>
        <v>0</v>
      </c>
      <c r="E11" s="404" t="s">
        <v>456</v>
      </c>
      <c r="F11" s="546"/>
      <c r="G11" s="404"/>
      <c r="H11" s="404"/>
      <c r="I11" s="546"/>
      <c r="J11" s="404"/>
      <c r="K11" s="485"/>
      <c r="L11" s="405"/>
      <c r="M11" s="405"/>
      <c r="N11" s="480"/>
      <c r="O11" s="480"/>
      <c r="P11" s="405"/>
      <c r="Q11" s="405"/>
      <c r="R11" s="405"/>
      <c r="S11" s="405"/>
      <c r="T11" s="316"/>
    </row>
    <row r="12" spans="2:20" x14ac:dyDescent="0.2">
      <c r="B12" s="315"/>
      <c r="C12" s="482" t="s">
        <v>482</v>
      </c>
      <c r="D12" s="483">
        <f>IF('4.Inputs'!D23&gt;0,D10*'4.Inputs'!D23,D10)</f>
        <v>0</v>
      </c>
      <c r="E12" s="404" t="s">
        <v>456</v>
      </c>
      <c r="F12" s="371" t="s">
        <v>483</v>
      </c>
      <c r="G12" s="404"/>
      <c r="H12" s="404"/>
      <c r="I12" s="371" t="s">
        <v>764</v>
      </c>
      <c r="J12" s="404"/>
      <c r="K12" s="485"/>
      <c r="L12" s="405"/>
      <c r="M12" s="405"/>
      <c r="N12" s="480"/>
      <c r="O12" s="480"/>
      <c r="P12" s="405"/>
      <c r="Q12" s="405"/>
      <c r="R12" s="405"/>
      <c r="S12" s="405"/>
      <c r="T12" s="316"/>
    </row>
    <row r="13" spans="2:20" ht="17" thickBot="1" x14ac:dyDescent="0.25">
      <c r="B13" s="317"/>
      <c r="C13" s="318"/>
      <c r="D13" s="486"/>
      <c r="E13" s="318"/>
      <c r="F13" s="319"/>
      <c r="G13" s="318"/>
      <c r="H13" s="318"/>
      <c r="I13" s="319"/>
      <c r="J13" s="318"/>
      <c r="K13" s="320"/>
      <c r="L13" s="316"/>
      <c r="M13" s="316"/>
      <c r="P13" s="316"/>
      <c r="Q13" s="316"/>
      <c r="R13" s="316"/>
      <c r="S13" s="316"/>
      <c r="T13" s="316"/>
    </row>
    <row r="21" spans="6:6" x14ac:dyDescent="0.2">
      <c r="F21" s="67"/>
    </row>
    <row r="22" spans="6:6" x14ac:dyDescent="0.2">
      <c r="F22" s="404"/>
    </row>
    <row r="23" spans="6:6" x14ac:dyDescent="0.2">
      <c r="F23" s="321"/>
    </row>
  </sheetData>
  <sheetProtection algorithmName="SHA-512" hashValue="UiGdNamB1lvBbP2t++QjMsW3nMouM8WbN1QCSvDX4VkJ16JlXQKiHTURvq/ogm/7wCmMWkjurpG8bANHj7jTQw==" saltValue="JMrUpb8uL3vwEzDdworNtQ==" spinCount="100000" sheet="1" selectLockedCells="1"/>
  <mergeCells count="8">
    <mergeCell ref="I5:K5"/>
    <mergeCell ref="I6:K7"/>
    <mergeCell ref="I8:K8"/>
    <mergeCell ref="B2:H2"/>
    <mergeCell ref="C4:H4"/>
    <mergeCell ref="F6:H7"/>
    <mergeCell ref="F8:H8"/>
    <mergeCell ref="F5:H5"/>
  </mergeCells>
  <hyperlinks>
    <hyperlink ref="C7" location="'2.Definitions'!B31" display="Insert total annual carbon market gov. office costs (excl. fees &amp; levies)" xr:uid="{575EF717-CB18-1442-A1AF-B70556969FF0}"/>
    <hyperlink ref="C9" location="'2.Definitions'!B32" display="Insert any additional annual costs related to carbon operations" xr:uid="{C356C4D9-EB4C-2640-B15D-9DDE087D38A6}"/>
  </hyperlinks>
  <pageMargins left="0.7" right="0.7" top="0.75" bottom="0.7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3E6B-93CA-4C6C-BB59-43C5C48B313B}">
  <sheetPr codeName="Sheet7">
    <tabColor theme="9" tint="0.39997558519241921"/>
  </sheetPr>
  <dimension ref="B1:N120"/>
  <sheetViews>
    <sheetView zoomScale="169" zoomScaleNormal="140" workbookViewId="0">
      <selection activeCell="D9" sqref="D9"/>
    </sheetView>
  </sheetViews>
  <sheetFormatPr baseColWidth="10" defaultColWidth="10.85546875" defaultRowHeight="14" x14ac:dyDescent="0.15"/>
  <cols>
    <col min="1" max="1" width="4.5703125" style="323" customWidth="1"/>
    <col min="2" max="2" width="1.28515625" style="323" customWidth="1"/>
    <col min="3" max="3" width="49.140625" style="323" customWidth="1"/>
    <col min="4" max="4" width="14.140625" style="323" customWidth="1"/>
    <col min="5" max="5" width="7.140625" style="323" customWidth="1"/>
    <col min="6" max="6" width="6" style="323" customWidth="1"/>
    <col min="7" max="7" width="66.140625" style="323" customWidth="1"/>
    <col min="8" max="8" width="56" style="323" bestFit="1" customWidth="1"/>
    <col min="9" max="11" width="10.85546875" style="323"/>
    <col min="12" max="12" width="10.28515625" style="323" customWidth="1"/>
    <col min="13" max="16384" width="10.85546875" style="323"/>
  </cols>
  <sheetData>
    <row r="1" spans="2:14" x14ac:dyDescent="0.15">
      <c r="H1" s="537"/>
    </row>
    <row r="2" spans="2:14" ht="75" customHeight="1" x14ac:dyDescent="0.15">
      <c r="B2" s="636" t="s">
        <v>484</v>
      </c>
      <c r="C2" s="636"/>
      <c r="D2" s="636"/>
      <c r="E2" s="636"/>
      <c r="F2" s="636"/>
      <c r="G2" s="636"/>
      <c r="H2" s="661"/>
      <c r="I2" s="636"/>
      <c r="J2" s="636"/>
      <c r="K2" s="636"/>
      <c r="L2" s="636"/>
      <c r="M2" s="322"/>
      <c r="N2" s="322"/>
    </row>
    <row r="3" spans="2:14" ht="14.25" customHeight="1" x14ac:dyDescent="0.15">
      <c r="B3" s="563" t="s">
        <v>813</v>
      </c>
      <c r="H3" s="538"/>
      <c r="I3" s="324"/>
      <c r="J3" s="324"/>
      <c r="K3" s="324"/>
      <c r="L3" s="324"/>
      <c r="M3" s="63"/>
      <c r="N3" s="63"/>
    </row>
    <row r="4" spans="2:14" ht="20" thickBot="1" x14ac:dyDescent="0.35">
      <c r="B4" s="370" t="s">
        <v>812</v>
      </c>
      <c r="C4" s="370"/>
      <c r="D4" s="325"/>
      <c r="E4" s="63"/>
      <c r="F4" s="63"/>
      <c r="G4" s="372" t="s">
        <v>294</v>
      </c>
      <c r="H4" s="372" t="s">
        <v>739</v>
      </c>
      <c r="I4" s="487"/>
      <c r="J4" s="487"/>
      <c r="K4" s="63"/>
      <c r="L4" s="63"/>
      <c r="M4" s="63"/>
      <c r="N4" s="63"/>
    </row>
    <row r="5" spans="2:14" ht="16" x14ac:dyDescent="0.15">
      <c r="B5" s="326"/>
      <c r="C5" s="327" t="s">
        <v>485</v>
      </c>
      <c r="D5" s="328"/>
      <c r="E5" s="201"/>
      <c r="F5" s="329"/>
      <c r="G5" s="373" t="s">
        <v>486</v>
      </c>
      <c r="H5" s="373" t="s">
        <v>740</v>
      </c>
      <c r="I5" s="487"/>
      <c r="J5" s="487"/>
      <c r="K5" s="63"/>
      <c r="L5" s="63"/>
      <c r="M5" s="63"/>
      <c r="N5" s="63"/>
    </row>
    <row r="6" spans="2:14" ht="15.75" customHeight="1" x14ac:dyDescent="0.15">
      <c r="B6" s="330"/>
      <c r="C6" s="331"/>
      <c r="D6" s="332"/>
      <c r="E6" s="205"/>
      <c r="F6" s="333"/>
      <c r="G6" s="373"/>
      <c r="H6" s="539"/>
      <c r="I6" s="487"/>
      <c r="J6" s="487"/>
      <c r="K6" s="63"/>
      <c r="L6" s="63"/>
      <c r="M6" s="63"/>
      <c r="N6" s="63"/>
    </row>
    <row r="7" spans="2:14" ht="15" thickBot="1" x14ac:dyDescent="0.2">
      <c r="B7" s="488"/>
      <c r="C7" s="334" t="s">
        <v>487</v>
      </c>
      <c r="D7" s="561"/>
      <c r="E7" s="490"/>
      <c r="F7" s="491"/>
      <c r="G7" s="373"/>
      <c r="H7" s="539"/>
      <c r="I7" s="487"/>
      <c r="J7" s="487"/>
      <c r="K7" s="487"/>
      <c r="L7" s="63"/>
      <c r="M7" s="407"/>
      <c r="N7" s="407"/>
    </row>
    <row r="8" spans="2:14" x14ac:dyDescent="0.15">
      <c r="B8" s="488"/>
      <c r="C8" s="426" t="s">
        <v>488</v>
      </c>
      <c r="D8" s="492">
        <f>avg_price</f>
        <v>10</v>
      </c>
      <c r="E8" s="419"/>
      <c r="F8" s="493"/>
      <c r="G8" s="373"/>
      <c r="H8" s="539"/>
      <c r="I8" s="487"/>
      <c r="J8" s="487"/>
      <c r="K8" s="487"/>
      <c r="L8" s="407"/>
      <c r="M8" s="407"/>
      <c r="N8" s="407"/>
    </row>
    <row r="9" spans="2:14" ht="26" x14ac:dyDescent="0.15">
      <c r="B9" s="488"/>
      <c r="C9" s="436" t="s">
        <v>489</v>
      </c>
      <c r="D9" s="494">
        <v>0.12</v>
      </c>
      <c r="E9" s="419"/>
      <c r="F9" s="493"/>
      <c r="G9" s="547" t="s">
        <v>490</v>
      </c>
      <c r="H9" s="547" t="s">
        <v>741</v>
      </c>
      <c r="I9" s="487"/>
      <c r="J9" s="407"/>
      <c r="K9" s="407"/>
      <c r="L9" s="407"/>
      <c r="M9" s="487"/>
      <c r="N9" s="407"/>
    </row>
    <row r="10" spans="2:14" x14ac:dyDescent="0.15">
      <c r="B10" s="488"/>
      <c r="C10" s="436" t="s">
        <v>491</v>
      </c>
      <c r="D10" s="495">
        <f>avg_price+(avg_price*D9)</f>
        <v>11.2</v>
      </c>
      <c r="E10" s="419" t="s">
        <v>456</v>
      </c>
      <c r="F10" s="493"/>
      <c r="G10" s="374" t="s">
        <v>765</v>
      </c>
      <c r="H10" s="374" t="s">
        <v>742</v>
      </c>
      <c r="I10" s="487"/>
      <c r="J10" s="407"/>
      <c r="K10" s="407"/>
      <c r="L10" s="407"/>
      <c r="M10" s="487"/>
      <c r="N10" s="407"/>
    </row>
    <row r="11" spans="2:14" x14ac:dyDescent="0.15">
      <c r="B11" s="488"/>
      <c r="C11" s="436" t="s">
        <v>492</v>
      </c>
      <c r="D11" s="483">
        <f>D10*non_authorized_credits</f>
        <v>1646400</v>
      </c>
      <c r="E11" s="419" t="s">
        <v>456</v>
      </c>
      <c r="F11" s="493"/>
      <c r="G11" s="373"/>
      <c r="H11" s="540"/>
      <c r="I11" s="487"/>
      <c r="J11" s="407"/>
      <c r="K11" s="407"/>
      <c r="L11" s="407"/>
      <c r="M11" s="487"/>
      <c r="N11" s="407"/>
    </row>
    <row r="12" spans="2:14" x14ac:dyDescent="0.15">
      <c r="B12" s="488"/>
      <c r="C12" s="436" t="s">
        <v>493</v>
      </c>
      <c r="D12" s="483">
        <f>'3.Gov Dashboard'!D21-D11</f>
        <v>-176400</v>
      </c>
      <c r="E12" s="419" t="s">
        <v>456</v>
      </c>
      <c r="F12" s="493"/>
      <c r="G12" s="374" t="s">
        <v>494</v>
      </c>
      <c r="H12" s="374" t="s">
        <v>743</v>
      </c>
      <c r="I12" s="487"/>
      <c r="J12" s="407"/>
      <c r="K12" s="407"/>
      <c r="L12" s="407"/>
      <c r="M12" s="487"/>
      <c r="N12" s="407"/>
    </row>
    <row r="13" spans="2:14" x14ac:dyDescent="0.15">
      <c r="B13" s="488"/>
      <c r="C13" s="419"/>
      <c r="D13" s="419"/>
      <c r="E13" s="419"/>
      <c r="F13" s="493"/>
      <c r="G13" s="373"/>
      <c r="H13" s="539"/>
      <c r="I13" s="487"/>
      <c r="J13" s="407"/>
      <c r="K13" s="407"/>
      <c r="L13" s="407"/>
      <c r="M13" s="487"/>
      <c r="N13" s="407"/>
    </row>
    <row r="14" spans="2:14" ht="15" thickBot="1" x14ac:dyDescent="0.2">
      <c r="B14" s="488"/>
      <c r="C14" s="334" t="s">
        <v>495</v>
      </c>
      <c r="D14" s="416"/>
      <c r="E14" s="419"/>
      <c r="F14" s="493"/>
      <c r="G14" s="373"/>
      <c r="H14" s="539"/>
      <c r="I14" s="487"/>
      <c r="J14" s="407"/>
      <c r="K14" s="407"/>
      <c r="L14" s="407"/>
      <c r="M14" s="487"/>
      <c r="N14" s="407"/>
    </row>
    <row r="15" spans="2:14" x14ac:dyDescent="0.15">
      <c r="B15" s="488"/>
      <c r="C15" s="426" t="s">
        <v>496</v>
      </c>
      <c r="D15" s="492">
        <f>itmo_price</f>
        <v>20</v>
      </c>
      <c r="E15" s="419"/>
      <c r="F15" s="493"/>
      <c r="G15" s="373"/>
      <c r="H15" s="540"/>
      <c r="I15" s="487"/>
      <c r="J15" s="407"/>
      <c r="K15" s="407"/>
      <c r="L15" s="407"/>
      <c r="M15" s="487"/>
      <c r="N15" s="407"/>
    </row>
    <row r="16" spans="2:14" ht="26" x14ac:dyDescent="0.15">
      <c r="B16" s="488"/>
      <c r="C16" s="436" t="s">
        <v>497</v>
      </c>
      <c r="D16" s="494">
        <v>0.1</v>
      </c>
      <c r="E16" s="419"/>
      <c r="F16" s="493"/>
      <c r="G16" s="547" t="s">
        <v>498</v>
      </c>
      <c r="H16" s="547" t="s">
        <v>744</v>
      </c>
      <c r="I16" s="487"/>
      <c r="J16" s="407"/>
      <c r="K16" s="407"/>
      <c r="L16" s="407"/>
      <c r="M16" s="487"/>
      <c r="N16" s="407"/>
    </row>
    <row r="17" spans="2:14" x14ac:dyDescent="0.15">
      <c r="B17" s="488"/>
      <c r="C17" s="436" t="s">
        <v>499</v>
      </c>
      <c r="D17" s="495">
        <f>itmo_price+(itmo_price*D16)</f>
        <v>22</v>
      </c>
      <c r="E17" s="419" t="s">
        <v>456</v>
      </c>
      <c r="F17" s="493"/>
      <c r="G17" s="374" t="s">
        <v>500</v>
      </c>
      <c r="H17" s="374" t="s">
        <v>745</v>
      </c>
      <c r="I17" s="487"/>
      <c r="J17" s="407"/>
      <c r="K17" s="407"/>
      <c r="L17" s="407"/>
      <c r="M17" s="487"/>
      <c r="N17" s="407"/>
    </row>
    <row r="18" spans="2:14" x14ac:dyDescent="0.15">
      <c r="B18" s="488"/>
      <c r="C18" s="436" t="s">
        <v>501</v>
      </c>
      <c r="D18" s="483">
        <f>D17*authorized_credits</f>
        <v>7546000</v>
      </c>
      <c r="E18" s="419" t="s">
        <v>456</v>
      </c>
      <c r="F18" s="493"/>
      <c r="G18" s="373"/>
      <c r="H18" s="540"/>
      <c r="I18" s="487"/>
      <c r="J18" s="407"/>
      <c r="K18" s="407"/>
      <c r="L18" s="407"/>
      <c r="M18" s="487"/>
      <c r="N18" s="407"/>
    </row>
    <row r="19" spans="2:14" x14ac:dyDescent="0.15">
      <c r="B19" s="488"/>
      <c r="C19" s="436" t="s">
        <v>502</v>
      </c>
      <c r="D19" s="483">
        <f>'3.Gov Dashboard'!D22-D18</f>
        <v>-686000</v>
      </c>
      <c r="E19" s="419" t="s">
        <v>456</v>
      </c>
      <c r="F19" s="493"/>
      <c r="G19" s="374" t="s">
        <v>503</v>
      </c>
      <c r="H19" s="374" t="s">
        <v>746</v>
      </c>
      <c r="I19" s="487"/>
      <c r="J19" s="407"/>
      <c r="K19" s="407"/>
      <c r="L19" s="407"/>
      <c r="M19" s="487"/>
      <c r="N19" s="407"/>
    </row>
    <row r="20" spans="2:14" x14ac:dyDescent="0.15">
      <c r="B20" s="488"/>
      <c r="C20" s="490"/>
      <c r="D20" s="490"/>
      <c r="E20" s="490"/>
      <c r="F20" s="491"/>
      <c r="G20" s="373"/>
      <c r="H20" s="541"/>
      <c r="I20" s="487"/>
      <c r="J20" s="63"/>
      <c r="K20" s="63"/>
      <c r="L20" s="63"/>
      <c r="M20" s="63"/>
      <c r="N20" s="63"/>
    </row>
    <row r="21" spans="2:14" ht="26" x14ac:dyDescent="0.15">
      <c r="B21" s="488"/>
      <c r="C21" s="496" t="s">
        <v>504</v>
      </c>
      <c r="D21" s="497"/>
      <c r="E21" s="419" t="s">
        <v>456</v>
      </c>
      <c r="F21" s="493"/>
      <c r="G21" s="547" t="s">
        <v>505</v>
      </c>
      <c r="H21" s="547" t="s">
        <v>747</v>
      </c>
      <c r="I21" s="487"/>
      <c r="J21" s="63"/>
      <c r="K21" s="63"/>
      <c r="L21" s="63"/>
      <c r="M21" s="63"/>
      <c r="N21" s="63"/>
    </row>
    <row r="22" spans="2:14" ht="17.25" customHeight="1" x14ac:dyDescent="0.15">
      <c r="B22" s="488"/>
      <c r="C22" s="498" t="s">
        <v>506</v>
      </c>
      <c r="D22" s="483">
        <f>D12+D19+D21</f>
        <v>-862400</v>
      </c>
      <c r="E22" s="419" t="s">
        <v>456</v>
      </c>
      <c r="F22" s="493"/>
      <c r="G22" s="374" t="s">
        <v>507</v>
      </c>
      <c r="H22" s="374" t="s">
        <v>766</v>
      </c>
      <c r="I22" s="487"/>
      <c r="J22" s="487"/>
      <c r="K22" s="487"/>
      <c r="L22" s="487"/>
      <c r="M22" s="487"/>
      <c r="N22" s="63"/>
    </row>
    <row r="23" spans="2:14" ht="15" thickBot="1" x14ac:dyDescent="0.2">
      <c r="B23" s="499"/>
      <c r="C23" s="416"/>
      <c r="D23" s="486"/>
      <c r="E23" s="416"/>
      <c r="F23" s="500"/>
      <c r="G23" s="373"/>
      <c r="H23" s="373"/>
      <c r="I23" s="487"/>
      <c r="J23" s="487"/>
      <c r="K23" s="487"/>
      <c r="L23" s="487"/>
      <c r="M23" s="487"/>
      <c r="N23" s="63"/>
    </row>
    <row r="24" spans="2:14" ht="15" thickBot="1" x14ac:dyDescent="0.2">
      <c r="B24" s="487"/>
      <c r="C24" s="419"/>
      <c r="D24" s="404"/>
      <c r="E24" s="419"/>
      <c r="F24" s="419"/>
      <c r="G24" s="373"/>
      <c r="H24" s="373"/>
      <c r="I24" s="487"/>
      <c r="J24" s="487"/>
      <c r="K24" s="487"/>
      <c r="L24" s="487"/>
      <c r="M24" s="487"/>
      <c r="N24" s="63"/>
    </row>
    <row r="25" spans="2:14" ht="31.5" customHeight="1" x14ac:dyDescent="0.15">
      <c r="B25" s="326"/>
      <c r="C25" s="327" t="s">
        <v>508</v>
      </c>
      <c r="D25" s="335"/>
      <c r="E25" s="201"/>
      <c r="F25" s="329"/>
      <c r="G25" s="373" t="s">
        <v>509</v>
      </c>
      <c r="H25" s="373" t="s">
        <v>749</v>
      </c>
      <c r="I25" s="487"/>
      <c r="J25" s="487"/>
      <c r="K25" s="487"/>
      <c r="L25" s="487"/>
      <c r="M25" s="487"/>
      <c r="N25" s="63"/>
    </row>
    <row r="26" spans="2:14" ht="15.75" customHeight="1" x14ac:dyDescent="0.15">
      <c r="B26" s="330"/>
      <c r="C26" s="331"/>
      <c r="D26" s="336"/>
      <c r="E26" s="205"/>
      <c r="F26" s="333"/>
      <c r="G26" s="373"/>
      <c r="H26" s="373"/>
      <c r="I26" s="487"/>
      <c r="J26" s="487"/>
      <c r="K26" s="487"/>
      <c r="L26" s="487"/>
      <c r="M26" s="487"/>
      <c r="N26" s="63"/>
    </row>
    <row r="27" spans="2:14" ht="24" customHeight="1" x14ac:dyDescent="0.15">
      <c r="B27" s="488"/>
      <c r="C27" s="496" t="str">
        <f>IF(itmo_price&gt;avg_price,"Selling all credits as non-authorized credits vs as ITMOs","Selling all credits as ITMOs vs non-authorized")</f>
        <v>Selling all credits as non-authorized credits vs as ITMOs</v>
      </c>
      <c r="D27" s="501">
        <f>IF(itmo_price&gt;avg_price,(total_credits*avg_price)-(total_credits*itmo_price),(total_credits*itmo_price)-(total_credits*avg_price))</f>
        <v>-5000000</v>
      </c>
      <c r="E27" s="419" t="s">
        <v>456</v>
      </c>
      <c r="F27" s="493"/>
      <c r="G27" s="547" t="s">
        <v>510</v>
      </c>
      <c r="H27" s="547" t="s">
        <v>750</v>
      </c>
      <c r="I27" s="337"/>
      <c r="J27" s="487"/>
      <c r="K27" s="487"/>
      <c r="L27" s="487"/>
      <c r="M27" s="487"/>
      <c r="N27" s="63"/>
    </row>
    <row r="28" spans="2:14" ht="26" x14ac:dyDescent="0.15">
      <c r="B28" s="488"/>
      <c r="C28" s="436" t="s">
        <v>504</v>
      </c>
      <c r="D28" s="502"/>
      <c r="E28" s="419" t="s">
        <v>456</v>
      </c>
      <c r="F28" s="493"/>
      <c r="G28" s="547" t="s">
        <v>505</v>
      </c>
      <c r="H28" s="547" t="s">
        <v>747</v>
      </c>
      <c r="I28" s="337"/>
      <c r="J28" s="487"/>
      <c r="K28" s="487"/>
      <c r="L28" s="487"/>
      <c r="M28" s="487"/>
      <c r="N28" s="487"/>
    </row>
    <row r="29" spans="2:14" ht="15" x14ac:dyDescent="0.15">
      <c r="B29" s="488"/>
      <c r="C29" s="498" t="s">
        <v>511</v>
      </c>
      <c r="D29" s="483">
        <f>D27+D28</f>
        <v>-5000000</v>
      </c>
      <c r="E29" s="419" t="s">
        <v>456</v>
      </c>
      <c r="F29" s="493"/>
      <c r="G29" s="374" t="s">
        <v>512</v>
      </c>
      <c r="H29" s="374" t="s">
        <v>748</v>
      </c>
      <c r="I29" s="337"/>
      <c r="J29" s="487"/>
      <c r="K29" s="487"/>
      <c r="L29" s="487"/>
      <c r="M29" s="487"/>
      <c r="N29" s="487"/>
    </row>
    <row r="30" spans="2:14" ht="15" thickBot="1" x14ac:dyDescent="0.2">
      <c r="B30" s="499"/>
      <c r="C30" s="489"/>
      <c r="D30" s="489"/>
      <c r="E30" s="489"/>
      <c r="F30" s="503"/>
      <c r="G30" s="487"/>
      <c r="H30" s="539"/>
      <c r="I30" s="337"/>
      <c r="J30" s="487"/>
      <c r="K30" s="487"/>
      <c r="L30" s="487"/>
      <c r="M30" s="487"/>
      <c r="N30" s="487"/>
    </row>
    <row r="31" spans="2:14" x14ac:dyDescent="0.15">
      <c r="B31" s="487"/>
      <c r="C31" s="487"/>
      <c r="D31" s="487"/>
      <c r="E31" s="487"/>
      <c r="F31" s="487"/>
      <c r="G31" s="487"/>
      <c r="H31" s="539"/>
      <c r="I31" s="337"/>
      <c r="J31" s="487"/>
      <c r="K31" s="487"/>
      <c r="L31" s="487"/>
      <c r="M31" s="487"/>
      <c r="N31" s="487"/>
    </row>
    <row r="32" spans="2:14" x14ac:dyDescent="0.15">
      <c r="B32" s="487"/>
      <c r="C32" s="487"/>
      <c r="D32" s="487"/>
      <c r="E32" s="487"/>
      <c r="F32" s="487"/>
      <c r="G32" s="487"/>
      <c r="H32" s="539"/>
      <c r="I32" s="487"/>
      <c r="J32" s="487"/>
      <c r="K32" s="487"/>
      <c r="L32" s="487"/>
      <c r="M32" s="487"/>
      <c r="N32" s="487"/>
    </row>
    <row r="33" spans="3:8" x14ac:dyDescent="0.15">
      <c r="H33" s="537"/>
    </row>
    <row r="34" spans="3:8" x14ac:dyDescent="0.15">
      <c r="H34" s="537"/>
    </row>
    <row r="35" spans="3:8" x14ac:dyDescent="0.15">
      <c r="C35" s="490"/>
      <c r="D35" s="487"/>
      <c r="E35" s="487"/>
      <c r="F35" s="487"/>
      <c r="G35" s="371"/>
      <c r="H35" s="537"/>
    </row>
    <row r="36" spans="3:8" x14ac:dyDescent="0.15">
      <c r="C36" s="63"/>
      <c r="D36" s="407"/>
      <c r="E36" s="487"/>
      <c r="F36" s="487"/>
      <c r="G36" s="407"/>
      <c r="H36" s="537"/>
    </row>
    <row r="37" spans="3:8" x14ac:dyDescent="0.15">
      <c r="C37" s="487"/>
      <c r="D37" s="407"/>
      <c r="E37" s="487"/>
      <c r="F37" s="487"/>
      <c r="G37" s="407"/>
      <c r="H37" s="537"/>
    </row>
    <row r="38" spans="3:8" x14ac:dyDescent="0.15">
      <c r="C38" s="487"/>
      <c r="D38" s="407"/>
      <c r="E38" s="487"/>
      <c r="F38" s="487"/>
      <c r="G38" s="407"/>
      <c r="H38" s="537"/>
    </row>
    <row r="39" spans="3:8" x14ac:dyDescent="0.15">
      <c r="C39" s="487"/>
      <c r="D39" s="407"/>
      <c r="E39" s="487"/>
      <c r="F39" s="487"/>
      <c r="G39" s="407"/>
      <c r="H39" s="537"/>
    </row>
    <row r="40" spans="3:8" x14ac:dyDescent="0.15">
      <c r="C40" s="487"/>
      <c r="D40" s="407"/>
      <c r="E40" s="487"/>
      <c r="F40" s="487"/>
      <c r="G40" s="407"/>
      <c r="H40" s="537"/>
    </row>
    <row r="41" spans="3:8" x14ac:dyDescent="0.15">
      <c r="C41" s="487"/>
      <c r="D41" s="407"/>
      <c r="E41" s="487"/>
      <c r="F41" s="487"/>
      <c r="G41" s="407"/>
      <c r="H41" s="537"/>
    </row>
    <row r="42" spans="3:8" x14ac:dyDescent="0.15">
      <c r="C42" s="487"/>
      <c r="D42" s="407"/>
      <c r="E42" s="487"/>
      <c r="F42" s="487"/>
      <c r="G42" s="407"/>
      <c r="H42" s="537"/>
    </row>
    <row r="43" spans="3:8" x14ac:dyDescent="0.15">
      <c r="C43" s="487"/>
      <c r="D43" s="407"/>
      <c r="E43" s="487"/>
      <c r="F43" s="487"/>
      <c r="G43" s="407"/>
      <c r="H43" s="537"/>
    </row>
    <row r="44" spans="3:8" x14ac:dyDescent="0.15">
      <c r="H44" s="537"/>
    </row>
    <row r="45" spans="3:8" x14ac:dyDescent="0.15">
      <c r="H45" s="537"/>
    </row>
    <row r="46" spans="3:8" x14ac:dyDescent="0.15">
      <c r="H46" s="537"/>
    </row>
    <row r="47" spans="3:8" x14ac:dyDescent="0.15">
      <c r="H47" s="537"/>
    </row>
    <row r="48" spans="3:8" x14ac:dyDescent="0.15">
      <c r="H48" s="537"/>
    </row>
    <row r="49" spans="8:8" x14ac:dyDescent="0.15">
      <c r="H49" s="537"/>
    </row>
    <row r="50" spans="8:8" x14ac:dyDescent="0.15">
      <c r="H50" s="537"/>
    </row>
    <row r="51" spans="8:8" x14ac:dyDescent="0.15">
      <c r="H51" s="537"/>
    </row>
    <row r="52" spans="8:8" x14ac:dyDescent="0.15">
      <c r="H52" s="537"/>
    </row>
    <row r="53" spans="8:8" x14ac:dyDescent="0.15">
      <c r="H53" s="537"/>
    </row>
    <row r="54" spans="8:8" x14ac:dyDescent="0.15">
      <c r="H54" s="537"/>
    </row>
    <row r="55" spans="8:8" x14ac:dyDescent="0.15">
      <c r="H55" s="537"/>
    </row>
    <row r="56" spans="8:8" x14ac:dyDescent="0.15">
      <c r="H56" s="537"/>
    </row>
    <row r="57" spans="8:8" x14ac:dyDescent="0.15">
      <c r="H57" s="537"/>
    </row>
    <row r="58" spans="8:8" x14ac:dyDescent="0.15">
      <c r="H58" s="537"/>
    </row>
    <row r="59" spans="8:8" x14ac:dyDescent="0.15">
      <c r="H59" s="537"/>
    </row>
    <row r="60" spans="8:8" x14ac:dyDescent="0.15">
      <c r="H60" s="537"/>
    </row>
    <row r="61" spans="8:8" x14ac:dyDescent="0.15">
      <c r="H61" s="537"/>
    </row>
    <row r="62" spans="8:8" x14ac:dyDescent="0.15">
      <c r="H62" s="537"/>
    </row>
    <row r="63" spans="8:8" x14ac:dyDescent="0.15">
      <c r="H63" s="537"/>
    </row>
    <row r="64" spans="8:8" x14ac:dyDescent="0.15">
      <c r="H64" s="537"/>
    </row>
    <row r="65" spans="8:8" x14ac:dyDescent="0.15">
      <c r="H65" s="537"/>
    </row>
    <row r="66" spans="8:8" x14ac:dyDescent="0.15">
      <c r="H66" s="537"/>
    </row>
    <row r="67" spans="8:8" x14ac:dyDescent="0.15">
      <c r="H67" s="537"/>
    </row>
    <row r="68" spans="8:8" x14ac:dyDescent="0.15">
      <c r="H68" s="537"/>
    </row>
    <row r="69" spans="8:8" x14ac:dyDescent="0.15">
      <c r="H69" s="537"/>
    </row>
    <row r="70" spans="8:8" x14ac:dyDescent="0.15">
      <c r="H70" s="537"/>
    </row>
    <row r="71" spans="8:8" x14ac:dyDescent="0.15">
      <c r="H71" s="537"/>
    </row>
    <row r="72" spans="8:8" x14ac:dyDescent="0.15">
      <c r="H72" s="537"/>
    </row>
    <row r="73" spans="8:8" x14ac:dyDescent="0.15">
      <c r="H73" s="537"/>
    </row>
    <row r="74" spans="8:8" x14ac:dyDescent="0.15">
      <c r="H74" s="537"/>
    </row>
    <row r="75" spans="8:8" x14ac:dyDescent="0.15">
      <c r="H75" s="537"/>
    </row>
    <row r="76" spans="8:8" x14ac:dyDescent="0.15">
      <c r="H76" s="537"/>
    </row>
    <row r="77" spans="8:8" x14ac:dyDescent="0.15">
      <c r="H77" s="537"/>
    </row>
    <row r="78" spans="8:8" x14ac:dyDescent="0.15">
      <c r="H78" s="537"/>
    </row>
    <row r="79" spans="8:8" x14ac:dyDescent="0.15">
      <c r="H79" s="537"/>
    </row>
    <row r="80" spans="8:8" x14ac:dyDescent="0.15">
      <c r="H80" s="537"/>
    </row>
    <row r="81" spans="8:8" x14ac:dyDescent="0.15">
      <c r="H81" s="537"/>
    </row>
    <row r="82" spans="8:8" x14ac:dyDescent="0.15">
      <c r="H82" s="537"/>
    </row>
    <row r="83" spans="8:8" x14ac:dyDescent="0.15">
      <c r="H83" s="537"/>
    </row>
    <row r="84" spans="8:8" x14ac:dyDescent="0.15">
      <c r="H84" s="537"/>
    </row>
    <row r="85" spans="8:8" x14ac:dyDescent="0.15">
      <c r="H85" s="537"/>
    </row>
    <row r="86" spans="8:8" x14ac:dyDescent="0.15">
      <c r="H86" s="537"/>
    </row>
    <row r="87" spans="8:8" x14ac:dyDescent="0.15">
      <c r="H87" s="537"/>
    </row>
    <row r="88" spans="8:8" x14ac:dyDescent="0.15">
      <c r="H88" s="537"/>
    </row>
    <row r="89" spans="8:8" x14ac:dyDescent="0.15">
      <c r="H89" s="537"/>
    </row>
    <row r="90" spans="8:8" x14ac:dyDescent="0.15">
      <c r="H90" s="537"/>
    </row>
    <row r="91" spans="8:8" x14ac:dyDescent="0.15">
      <c r="H91" s="537"/>
    </row>
    <row r="92" spans="8:8" x14ac:dyDescent="0.15">
      <c r="H92" s="537"/>
    </row>
    <row r="93" spans="8:8" x14ac:dyDescent="0.15">
      <c r="H93" s="537"/>
    </row>
    <row r="94" spans="8:8" x14ac:dyDescent="0.15">
      <c r="H94" s="537"/>
    </row>
    <row r="95" spans="8:8" x14ac:dyDescent="0.15">
      <c r="H95" s="537"/>
    </row>
    <row r="96" spans="8:8" x14ac:dyDescent="0.15">
      <c r="H96" s="537"/>
    </row>
    <row r="97" spans="8:8" x14ac:dyDescent="0.15">
      <c r="H97" s="537"/>
    </row>
    <row r="98" spans="8:8" x14ac:dyDescent="0.15">
      <c r="H98" s="537"/>
    </row>
    <row r="99" spans="8:8" x14ac:dyDescent="0.15">
      <c r="H99" s="537"/>
    </row>
    <row r="100" spans="8:8" x14ac:dyDescent="0.15">
      <c r="H100" s="537"/>
    </row>
    <row r="101" spans="8:8" x14ac:dyDescent="0.15">
      <c r="H101" s="537"/>
    </row>
    <row r="102" spans="8:8" x14ac:dyDescent="0.15">
      <c r="H102" s="537"/>
    </row>
    <row r="103" spans="8:8" x14ac:dyDescent="0.15">
      <c r="H103" s="537"/>
    </row>
    <row r="104" spans="8:8" x14ac:dyDescent="0.15">
      <c r="H104" s="537"/>
    </row>
    <row r="105" spans="8:8" x14ac:dyDescent="0.15">
      <c r="H105" s="537"/>
    </row>
    <row r="106" spans="8:8" x14ac:dyDescent="0.15">
      <c r="H106" s="537"/>
    </row>
    <row r="107" spans="8:8" x14ac:dyDescent="0.15">
      <c r="H107" s="537"/>
    </row>
    <row r="108" spans="8:8" x14ac:dyDescent="0.15">
      <c r="H108" s="537"/>
    </row>
    <row r="109" spans="8:8" x14ac:dyDescent="0.15">
      <c r="H109" s="537"/>
    </row>
    <row r="110" spans="8:8" x14ac:dyDescent="0.15">
      <c r="H110" s="537"/>
    </row>
    <row r="111" spans="8:8" x14ac:dyDescent="0.15">
      <c r="H111" s="537"/>
    </row>
    <row r="112" spans="8:8" x14ac:dyDescent="0.15">
      <c r="H112" s="537"/>
    </row>
    <row r="113" spans="8:8" x14ac:dyDescent="0.15">
      <c r="H113" s="537"/>
    </row>
    <row r="114" spans="8:8" x14ac:dyDescent="0.15">
      <c r="H114" s="537"/>
    </row>
    <row r="115" spans="8:8" x14ac:dyDescent="0.15">
      <c r="H115" s="537"/>
    </row>
    <row r="116" spans="8:8" x14ac:dyDescent="0.15">
      <c r="H116" s="537"/>
    </row>
    <row r="117" spans="8:8" x14ac:dyDescent="0.15">
      <c r="H117" s="537"/>
    </row>
    <row r="118" spans="8:8" x14ac:dyDescent="0.15">
      <c r="H118" s="537"/>
    </row>
    <row r="119" spans="8:8" x14ac:dyDescent="0.15">
      <c r="H119" s="537"/>
    </row>
    <row r="120" spans="8:8" x14ac:dyDescent="0.15">
      <c r="H120" s="537"/>
    </row>
  </sheetData>
  <sheetProtection algorithmName="SHA-512" hashValue="WE4HBGY6JlZvCy2M5RL+QF9dx+B1llxUf6yW20eVsrrt2vDQ7F/uf97pANJHAJeun8J87y+avDdbozyJ0hduaw==" saltValue="RoTYWie+OwjRktQcRk0yXA==" spinCount="100000" sheet="1" selectLockedCells="1"/>
  <mergeCells count="1">
    <mergeCell ref="B2:L2"/>
  </mergeCells>
  <pageMargins left="0.7" right="0.7" top="0.75" bottom="0.75" header="0.3" footer="0.3"/>
  <pageSetup paperSize="9"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81EF2-F356-A644-9F1B-20921940DF28}">
  <sheetPr codeName="Sheet13">
    <tabColor theme="9" tint="0.39997558519241921"/>
  </sheetPr>
  <dimension ref="B1:M80"/>
  <sheetViews>
    <sheetView zoomScale="200" zoomScaleNormal="190" workbookViewId="0">
      <selection activeCell="D6" sqref="D6"/>
    </sheetView>
  </sheetViews>
  <sheetFormatPr baseColWidth="10" defaultColWidth="10.85546875" defaultRowHeight="14" x14ac:dyDescent="0.15"/>
  <cols>
    <col min="1" max="1" width="4.5703125" style="323" customWidth="1"/>
    <col min="2" max="2" width="1.28515625" style="323" customWidth="1"/>
    <col min="3" max="3" width="45.28515625" style="323" customWidth="1"/>
    <col min="4" max="4" width="13" style="323" customWidth="1"/>
    <col min="5" max="5" width="10" style="323" customWidth="1"/>
    <col min="6" max="8" width="15.28515625" style="323" customWidth="1"/>
    <col min="9" max="9" width="21.7109375" style="323" customWidth="1"/>
    <col min="10" max="10" width="18.85546875" style="323" bestFit="1" customWidth="1"/>
    <col min="11" max="16384" width="10.85546875" style="323"/>
  </cols>
  <sheetData>
    <row r="1" spans="2:13" x14ac:dyDescent="0.15">
      <c r="J1" s="537"/>
    </row>
    <row r="2" spans="2:13" ht="75" customHeight="1" x14ac:dyDescent="0.15">
      <c r="B2" s="636" t="s">
        <v>513</v>
      </c>
      <c r="C2" s="636"/>
      <c r="D2" s="636"/>
      <c r="E2" s="636"/>
      <c r="F2" s="636"/>
      <c r="G2" s="636"/>
      <c r="H2" s="636"/>
      <c r="I2" s="636"/>
      <c r="J2" s="636"/>
      <c r="K2" s="636"/>
      <c r="L2" s="636"/>
      <c r="M2" s="636"/>
    </row>
    <row r="3" spans="2:13" ht="16" customHeight="1" thickBot="1" x14ac:dyDescent="0.2">
      <c r="B3" s="563" t="s">
        <v>813</v>
      </c>
      <c r="C3" s="325"/>
      <c r="D3" s="325"/>
      <c r="E3" s="63"/>
      <c r="F3" s="487"/>
      <c r="G3" s="63"/>
      <c r="H3" s="63"/>
      <c r="I3" s="63"/>
      <c r="J3" s="541"/>
      <c r="K3" s="63"/>
      <c r="L3" s="63"/>
    </row>
    <row r="4" spans="2:13" ht="31.5" customHeight="1" x14ac:dyDescent="0.3">
      <c r="B4" s="326"/>
      <c r="C4" s="73" t="s">
        <v>514</v>
      </c>
      <c r="D4" s="201"/>
      <c r="E4" s="329"/>
      <c r="F4" s="375" t="s">
        <v>294</v>
      </c>
      <c r="G4" s="407"/>
      <c r="H4" s="487"/>
      <c r="I4" s="487"/>
      <c r="J4" s="375" t="s">
        <v>767</v>
      </c>
      <c r="K4" s="407"/>
      <c r="L4" s="407"/>
    </row>
    <row r="5" spans="2:13" x14ac:dyDescent="0.15">
      <c r="B5" s="488"/>
      <c r="C5" s="338"/>
      <c r="D5" s="339"/>
      <c r="E5" s="333"/>
      <c r="F5" s="663"/>
      <c r="G5" s="662"/>
      <c r="H5" s="662"/>
      <c r="I5" s="662"/>
      <c r="J5" s="541"/>
      <c r="K5" s="407"/>
      <c r="L5" s="407"/>
    </row>
    <row r="6" spans="2:13" x14ac:dyDescent="0.15">
      <c r="B6" s="488"/>
      <c r="C6" s="496" t="s">
        <v>515</v>
      </c>
      <c r="D6" s="504">
        <v>1500000</v>
      </c>
      <c r="E6" s="340" t="s">
        <v>516</v>
      </c>
      <c r="F6" s="663" t="s">
        <v>517</v>
      </c>
      <c r="G6" s="662"/>
      <c r="H6" s="662"/>
      <c r="I6" s="662"/>
      <c r="J6" s="662" t="s">
        <v>751</v>
      </c>
      <c r="K6" s="662"/>
      <c r="L6" s="662"/>
      <c r="M6" s="662"/>
    </row>
    <row r="7" spans="2:13" x14ac:dyDescent="0.15">
      <c r="B7" s="488"/>
      <c r="C7" s="436" t="s">
        <v>518</v>
      </c>
      <c r="D7" s="505">
        <v>1000000</v>
      </c>
      <c r="E7" s="340" t="s">
        <v>516</v>
      </c>
      <c r="F7" s="663" t="s">
        <v>519</v>
      </c>
      <c r="G7" s="662"/>
      <c r="H7" s="662"/>
      <c r="I7" s="662"/>
      <c r="J7" s="662" t="s">
        <v>752</v>
      </c>
      <c r="K7" s="662"/>
      <c r="L7" s="662"/>
      <c r="M7" s="662"/>
    </row>
    <row r="8" spans="2:13" x14ac:dyDescent="0.15">
      <c r="B8" s="488"/>
      <c r="C8" s="436" t="s">
        <v>520</v>
      </c>
      <c r="D8" s="506">
        <f>non_authorized_credits</f>
        <v>147000</v>
      </c>
      <c r="E8" s="340" t="s">
        <v>516</v>
      </c>
      <c r="F8" s="664" t="s">
        <v>521</v>
      </c>
      <c r="G8" s="665"/>
      <c r="H8" s="665"/>
      <c r="I8" s="665"/>
      <c r="J8" s="665" t="s">
        <v>753</v>
      </c>
      <c r="K8" s="665"/>
      <c r="L8" s="665"/>
      <c r="M8" s="665"/>
    </row>
    <row r="9" spans="2:13" x14ac:dyDescent="0.15">
      <c r="B9" s="488"/>
      <c r="C9" s="436" t="s">
        <v>522</v>
      </c>
      <c r="D9" s="506">
        <f>authorized_credits</f>
        <v>343000</v>
      </c>
      <c r="E9" s="340" t="s">
        <v>516</v>
      </c>
      <c r="F9" s="377"/>
      <c r="G9" s="548"/>
      <c r="H9" s="548"/>
      <c r="I9" s="548"/>
      <c r="J9" s="548"/>
      <c r="K9" s="548"/>
      <c r="L9" s="548"/>
      <c r="M9" s="548"/>
    </row>
    <row r="10" spans="2:13" x14ac:dyDescent="0.15">
      <c r="B10" s="488"/>
      <c r="C10" s="436" t="s">
        <v>523</v>
      </c>
      <c r="D10" s="506">
        <f>non_authorized_credits_ndc</f>
        <v>58800</v>
      </c>
      <c r="E10" s="340" t="s">
        <v>516</v>
      </c>
      <c r="F10" s="664" t="s">
        <v>521</v>
      </c>
      <c r="G10" s="665"/>
      <c r="H10" s="665"/>
      <c r="I10" s="665"/>
      <c r="J10" s="665" t="s">
        <v>753</v>
      </c>
      <c r="K10" s="665"/>
      <c r="L10" s="665"/>
      <c r="M10" s="665"/>
    </row>
    <row r="11" spans="2:13" x14ac:dyDescent="0.15">
      <c r="B11" s="488"/>
      <c r="C11" s="436" t="s">
        <v>524</v>
      </c>
      <c r="D11" s="506">
        <f>authorized_credits_ndc</f>
        <v>137200</v>
      </c>
      <c r="E11" s="340" t="s">
        <v>516</v>
      </c>
      <c r="F11" s="377"/>
      <c r="G11" s="548"/>
      <c r="H11" s="548"/>
      <c r="I11" s="548"/>
      <c r="J11" s="548"/>
      <c r="K11" s="548"/>
      <c r="L11" s="548"/>
      <c r="M11" s="548"/>
    </row>
    <row r="12" spans="2:13" x14ac:dyDescent="0.15">
      <c r="B12" s="488"/>
      <c r="C12" s="436" t="s">
        <v>525</v>
      </c>
      <c r="D12" s="341">
        <f>IFERROR(D10/D6,"")</f>
        <v>3.9199999999999999E-2</v>
      </c>
      <c r="E12" s="340" t="s">
        <v>526</v>
      </c>
      <c r="F12" s="663" t="s">
        <v>527</v>
      </c>
      <c r="G12" s="662"/>
      <c r="H12" s="662"/>
      <c r="I12" s="662"/>
      <c r="J12" s="662" t="s">
        <v>754</v>
      </c>
      <c r="K12" s="662"/>
      <c r="L12" s="662"/>
      <c r="M12" s="662"/>
    </row>
    <row r="13" spans="2:13" x14ac:dyDescent="0.15">
      <c r="B13" s="488"/>
      <c r="C13" s="436" t="s">
        <v>528</v>
      </c>
      <c r="D13" s="341">
        <f>IFERROR(D11/D6,"")</f>
        <v>9.1466666666666668E-2</v>
      </c>
      <c r="E13" s="340" t="s">
        <v>526</v>
      </c>
      <c r="F13" s="663" t="s">
        <v>529</v>
      </c>
      <c r="G13" s="662"/>
      <c r="H13" s="662"/>
      <c r="I13" s="662"/>
      <c r="J13" s="662" t="s">
        <v>755</v>
      </c>
      <c r="K13" s="662"/>
      <c r="L13" s="662"/>
      <c r="M13" s="662"/>
    </row>
    <row r="14" spans="2:13" x14ac:dyDescent="0.15">
      <c r="B14" s="488"/>
      <c r="C14" s="436" t="s">
        <v>530</v>
      </c>
      <c r="D14" s="341">
        <f>IFERROR(D10/D7," ")</f>
        <v>5.8799999999999998E-2</v>
      </c>
      <c r="E14" s="340" t="s">
        <v>526</v>
      </c>
      <c r="F14" s="663" t="s">
        <v>531</v>
      </c>
      <c r="G14" s="662"/>
      <c r="H14" s="662"/>
      <c r="I14" s="662"/>
      <c r="J14" s="662" t="s">
        <v>756</v>
      </c>
      <c r="K14" s="662"/>
      <c r="L14" s="662"/>
      <c r="M14" s="662"/>
    </row>
    <row r="15" spans="2:13" x14ac:dyDescent="0.15">
      <c r="B15" s="488"/>
      <c r="C15" s="436" t="s">
        <v>532</v>
      </c>
      <c r="D15" s="341">
        <f>IFERROR(D11/D7,"")</f>
        <v>0.13719999999999999</v>
      </c>
      <c r="E15" s="491" t="s">
        <v>526</v>
      </c>
      <c r="F15" s="663" t="s">
        <v>533</v>
      </c>
      <c r="G15" s="662"/>
      <c r="H15" s="662"/>
      <c r="I15" s="662"/>
      <c r="J15" s="662" t="s">
        <v>757</v>
      </c>
      <c r="K15" s="662"/>
      <c r="L15" s="662"/>
      <c r="M15" s="662"/>
    </row>
    <row r="16" spans="2:13" ht="15" thickBot="1" x14ac:dyDescent="0.2">
      <c r="B16" s="499"/>
      <c r="C16" s="507"/>
      <c r="D16" s="507"/>
      <c r="E16" s="508"/>
      <c r="F16" s="487"/>
      <c r="G16" s="487"/>
      <c r="H16" s="487"/>
      <c r="I16" s="487"/>
      <c r="J16" s="539"/>
      <c r="K16" s="487"/>
      <c r="L16" s="487"/>
    </row>
    <row r="17" spans="10:10" x14ac:dyDescent="0.15">
      <c r="J17" s="537"/>
    </row>
    <row r="18" spans="10:10" x14ac:dyDescent="0.15">
      <c r="J18" s="537"/>
    </row>
    <row r="19" spans="10:10" x14ac:dyDescent="0.15">
      <c r="J19" s="537"/>
    </row>
    <row r="20" spans="10:10" x14ac:dyDescent="0.15">
      <c r="J20" s="537"/>
    </row>
    <row r="21" spans="10:10" x14ac:dyDescent="0.15">
      <c r="J21" s="537"/>
    </row>
    <row r="22" spans="10:10" x14ac:dyDescent="0.15">
      <c r="J22" s="537"/>
    </row>
    <row r="23" spans="10:10" x14ac:dyDescent="0.15">
      <c r="J23" s="537"/>
    </row>
    <row r="24" spans="10:10" x14ac:dyDescent="0.15">
      <c r="J24" s="537"/>
    </row>
    <row r="25" spans="10:10" x14ac:dyDescent="0.15">
      <c r="J25" s="537"/>
    </row>
    <row r="26" spans="10:10" x14ac:dyDescent="0.15">
      <c r="J26" s="537"/>
    </row>
    <row r="27" spans="10:10" x14ac:dyDescent="0.15">
      <c r="J27" s="537"/>
    </row>
    <row r="28" spans="10:10" x14ac:dyDescent="0.15">
      <c r="J28" s="537"/>
    </row>
    <row r="29" spans="10:10" x14ac:dyDescent="0.15">
      <c r="J29" s="537"/>
    </row>
    <row r="30" spans="10:10" x14ac:dyDescent="0.15">
      <c r="J30" s="537"/>
    </row>
    <row r="31" spans="10:10" x14ac:dyDescent="0.15">
      <c r="J31" s="537"/>
    </row>
    <row r="32" spans="10:10" x14ac:dyDescent="0.15">
      <c r="J32" s="537"/>
    </row>
    <row r="33" spans="10:10" x14ac:dyDescent="0.15">
      <c r="J33" s="537"/>
    </row>
    <row r="34" spans="10:10" x14ac:dyDescent="0.15">
      <c r="J34" s="537"/>
    </row>
    <row r="35" spans="10:10" x14ac:dyDescent="0.15">
      <c r="J35" s="537"/>
    </row>
    <row r="36" spans="10:10" x14ac:dyDescent="0.15">
      <c r="J36" s="537"/>
    </row>
    <row r="37" spans="10:10" x14ac:dyDescent="0.15">
      <c r="J37" s="537"/>
    </row>
    <row r="38" spans="10:10" x14ac:dyDescent="0.15">
      <c r="J38" s="537"/>
    </row>
    <row r="39" spans="10:10" x14ac:dyDescent="0.15">
      <c r="J39" s="537"/>
    </row>
    <row r="40" spans="10:10" x14ac:dyDescent="0.15">
      <c r="J40" s="537"/>
    </row>
    <row r="41" spans="10:10" x14ac:dyDescent="0.15">
      <c r="J41" s="537"/>
    </row>
    <row r="42" spans="10:10" x14ac:dyDescent="0.15">
      <c r="J42" s="537"/>
    </row>
    <row r="43" spans="10:10" x14ac:dyDescent="0.15">
      <c r="J43" s="537"/>
    </row>
    <row r="44" spans="10:10" x14ac:dyDescent="0.15">
      <c r="J44" s="537"/>
    </row>
    <row r="45" spans="10:10" x14ac:dyDescent="0.15">
      <c r="J45" s="537"/>
    </row>
    <row r="46" spans="10:10" x14ac:dyDescent="0.15">
      <c r="J46" s="537"/>
    </row>
    <row r="47" spans="10:10" x14ac:dyDescent="0.15">
      <c r="J47" s="537"/>
    </row>
    <row r="48" spans="10:10" x14ac:dyDescent="0.15">
      <c r="J48" s="537"/>
    </row>
    <row r="49" spans="10:10" x14ac:dyDescent="0.15">
      <c r="J49" s="537"/>
    </row>
    <row r="50" spans="10:10" x14ac:dyDescent="0.15">
      <c r="J50" s="537"/>
    </row>
    <row r="51" spans="10:10" x14ac:dyDescent="0.15">
      <c r="J51" s="537"/>
    </row>
    <row r="52" spans="10:10" x14ac:dyDescent="0.15">
      <c r="J52" s="537"/>
    </row>
    <row r="53" spans="10:10" x14ac:dyDescent="0.15">
      <c r="J53" s="537"/>
    </row>
    <row r="54" spans="10:10" x14ac:dyDescent="0.15">
      <c r="J54" s="537"/>
    </row>
    <row r="55" spans="10:10" x14ac:dyDescent="0.15">
      <c r="J55" s="537"/>
    </row>
    <row r="56" spans="10:10" x14ac:dyDescent="0.15">
      <c r="J56" s="537"/>
    </row>
    <row r="57" spans="10:10" x14ac:dyDescent="0.15">
      <c r="J57" s="537"/>
    </row>
    <row r="58" spans="10:10" x14ac:dyDescent="0.15">
      <c r="J58" s="537"/>
    </row>
    <row r="59" spans="10:10" x14ac:dyDescent="0.15">
      <c r="J59" s="537"/>
    </row>
    <row r="60" spans="10:10" x14ac:dyDescent="0.15">
      <c r="J60" s="537"/>
    </row>
    <row r="61" spans="10:10" x14ac:dyDescent="0.15">
      <c r="J61" s="537"/>
    </row>
    <row r="62" spans="10:10" x14ac:dyDescent="0.15">
      <c r="J62" s="537"/>
    </row>
    <row r="63" spans="10:10" x14ac:dyDescent="0.15">
      <c r="J63" s="537"/>
    </row>
    <row r="64" spans="10:10" x14ac:dyDescent="0.15">
      <c r="J64" s="537"/>
    </row>
    <row r="65" spans="10:10" x14ac:dyDescent="0.15">
      <c r="J65" s="537"/>
    </row>
    <row r="66" spans="10:10" x14ac:dyDescent="0.15">
      <c r="J66" s="537"/>
    </row>
    <row r="67" spans="10:10" x14ac:dyDescent="0.15">
      <c r="J67" s="537"/>
    </row>
    <row r="68" spans="10:10" x14ac:dyDescent="0.15">
      <c r="J68" s="537"/>
    </row>
    <row r="69" spans="10:10" x14ac:dyDescent="0.15">
      <c r="J69" s="537"/>
    </row>
    <row r="70" spans="10:10" x14ac:dyDescent="0.15">
      <c r="J70" s="537"/>
    </row>
    <row r="71" spans="10:10" x14ac:dyDescent="0.15">
      <c r="J71" s="537"/>
    </row>
    <row r="72" spans="10:10" x14ac:dyDescent="0.15">
      <c r="J72" s="537"/>
    </row>
    <row r="73" spans="10:10" x14ac:dyDescent="0.15">
      <c r="J73" s="537"/>
    </row>
    <row r="74" spans="10:10" x14ac:dyDescent="0.15">
      <c r="J74" s="537"/>
    </row>
    <row r="75" spans="10:10" x14ac:dyDescent="0.15">
      <c r="J75" s="537"/>
    </row>
    <row r="76" spans="10:10" x14ac:dyDescent="0.15">
      <c r="J76" s="537"/>
    </row>
    <row r="77" spans="10:10" x14ac:dyDescent="0.15">
      <c r="J77" s="537"/>
    </row>
    <row r="78" spans="10:10" x14ac:dyDescent="0.15">
      <c r="J78" s="537"/>
    </row>
    <row r="79" spans="10:10" x14ac:dyDescent="0.15">
      <c r="J79" s="537"/>
    </row>
    <row r="80" spans="10:10" x14ac:dyDescent="0.15">
      <c r="J80" s="537"/>
    </row>
  </sheetData>
  <sheetProtection algorithmName="SHA-512" hashValue="D9isttw+9uEKhiV5jWad++HlH2pZy1qDjUIsXAqlEXJcy/rpST+NHvNr+P5WHYXPBXrzpT+9Om+oT02UPy2SfQ==" saltValue="tXIK2Eh7ThX/IXRmodtZYg==" spinCount="100000" sheet="1" selectLockedCells="1"/>
  <mergeCells count="18">
    <mergeCell ref="J8:M8"/>
    <mergeCell ref="J10:M10"/>
    <mergeCell ref="J12:M12"/>
    <mergeCell ref="J13:M13"/>
    <mergeCell ref="J14:M14"/>
    <mergeCell ref="J15:M15"/>
    <mergeCell ref="B2:M2"/>
    <mergeCell ref="F13:I13"/>
    <mergeCell ref="F14:I14"/>
    <mergeCell ref="F15:I15"/>
    <mergeCell ref="F7:I7"/>
    <mergeCell ref="F6:I6"/>
    <mergeCell ref="F5:I5"/>
    <mergeCell ref="F12:I12"/>
    <mergeCell ref="F8:I8"/>
    <mergeCell ref="F10:I10"/>
    <mergeCell ref="J6:M6"/>
    <mergeCell ref="J7:M7"/>
  </mergeCells>
  <pageMargins left="0.7" right="0.7" top="0.75" bottom="0.75" header="0.3" footer="0.3"/>
  <pageSetup paperSize="9"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4155E-34F1-5941-8181-0258479B14A1}">
  <sheetPr codeName="Sheet10">
    <tabColor theme="7" tint="0.79998168889431442"/>
  </sheetPr>
  <dimension ref="A1:Q108"/>
  <sheetViews>
    <sheetView showGridLines="0" zoomScale="120" zoomScaleNormal="120" workbookViewId="0">
      <pane ySplit="1" topLeftCell="A2" activePane="bottomLeft" state="frozen"/>
      <selection activeCell="B1" sqref="B1"/>
      <selection pane="bottomLeft" activeCell="D15" sqref="D15"/>
    </sheetView>
  </sheetViews>
  <sheetFormatPr baseColWidth="10" defaultColWidth="8.85546875" defaultRowHeight="16" x14ac:dyDescent="0.2"/>
  <cols>
    <col min="1" max="1" width="14.140625" style="1" customWidth="1"/>
    <col min="2" max="2" width="13.7109375" customWidth="1"/>
    <col min="3" max="3" width="42.5703125" style="1" customWidth="1"/>
    <col min="4" max="5" width="21.28515625" style="1" customWidth="1"/>
    <col min="6" max="6" width="41.28515625" style="1" customWidth="1"/>
    <col min="7" max="7" width="13.7109375" style="1" customWidth="1"/>
    <col min="8" max="8" width="10.28515625" style="1" customWidth="1"/>
    <col min="9" max="9" width="14.85546875" customWidth="1"/>
    <col min="10" max="10" width="39.7109375" customWidth="1"/>
    <col min="11" max="11" width="12.28515625" style="1" customWidth="1"/>
    <col min="12" max="12" width="41.28515625" style="1" customWidth="1"/>
    <col min="13" max="13" width="16.28515625" style="1" customWidth="1"/>
    <col min="14" max="14" width="12.28515625" style="1" customWidth="1"/>
    <col min="15" max="15" width="44.140625" style="1" customWidth="1"/>
    <col min="18" max="16384" width="8.85546875" style="1"/>
  </cols>
  <sheetData>
    <row r="1" spans="1:17" ht="15" x14ac:dyDescent="0.15">
      <c r="A1" s="2" t="s">
        <v>534</v>
      </c>
      <c r="B1" s="3" t="s">
        <v>535</v>
      </c>
      <c r="C1" s="3" t="s">
        <v>536</v>
      </c>
      <c r="D1" s="3" t="s">
        <v>537</v>
      </c>
      <c r="E1" s="3" t="s">
        <v>538</v>
      </c>
      <c r="F1" s="3" t="s">
        <v>539</v>
      </c>
      <c r="G1" s="3" t="s">
        <v>540</v>
      </c>
      <c r="H1" s="3" t="s">
        <v>541</v>
      </c>
      <c r="I1" s="3" t="s">
        <v>542</v>
      </c>
      <c r="J1" s="3" t="s">
        <v>450</v>
      </c>
      <c r="K1" s="4" t="s">
        <v>543</v>
      </c>
      <c r="L1" s="2" t="s">
        <v>544</v>
      </c>
      <c r="P1" s="1"/>
      <c r="Q1" s="1"/>
    </row>
    <row r="2" spans="1:17" x14ac:dyDescent="0.15">
      <c r="A2" s="5" t="s">
        <v>360</v>
      </c>
      <c r="B2" s="6" t="s">
        <v>545</v>
      </c>
      <c r="C2" s="6" t="s">
        <v>546</v>
      </c>
      <c r="D2" s="6" t="s">
        <v>547</v>
      </c>
      <c r="E2" s="6" t="s">
        <v>548</v>
      </c>
      <c r="F2" s="6" t="s">
        <v>549</v>
      </c>
      <c r="G2" s="6" t="s">
        <v>550</v>
      </c>
      <c r="H2" s="6" t="s">
        <v>454</v>
      </c>
      <c r="I2" s="6">
        <v>300</v>
      </c>
      <c r="J2" s="6" t="s">
        <v>551</v>
      </c>
      <c r="K2" s="7" t="s">
        <v>456</v>
      </c>
      <c r="L2" s="5" t="s">
        <v>552</v>
      </c>
      <c r="P2" s="1"/>
      <c r="Q2" s="1"/>
    </row>
    <row r="3" spans="1:17" x14ac:dyDescent="0.15">
      <c r="A3" s="5" t="s">
        <v>360</v>
      </c>
      <c r="B3" s="6" t="s">
        <v>545</v>
      </c>
      <c r="C3" s="6" t="s">
        <v>546</v>
      </c>
      <c r="D3" s="6" t="s">
        <v>547</v>
      </c>
      <c r="E3" s="6" t="s">
        <v>548</v>
      </c>
      <c r="F3" s="6" t="s">
        <v>553</v>
      </c>
      <c r="G3" s="6" t="s">
        <v>550</v>
      </c>
      <c r="H3" s="6" t="s">
        <v>454</v>
      </c>
      <c r="I3" s="6">
        <v>500</v>
      </c>
      <c r="J3" s="6" t="s">
        <v>551</v>
      </c>
      <c r="K3" s="7" t="s">
        <v>456</v>
      </c>
      <c r="L3" s="5" t="s">
        <v>552</v>
      </c>
      <c r="P3" s="1"/>
      <c r="Q3" s="1"/>
    </row>
    <row r="4" spans="1:17" x14ac:dyDescent="0.15">
      <c r="A4" s="5" t="s">
        <v>360</v>
      </c>
      <c r="B4" s="6" t="s">
        <v>545</v>
      </c>
      <c r="C4" s="6" t="s">
        <v>546</v>
      </c>
      <c r="D4" s="6" t="s">
        <v>547</v>
      </c>
      <c r="E4" s="6" t="s">
        <v>548</v>
      </c>
      <c r="F4" s="6" t="s">
        <v>554</v>
      </c>
      <c r="G4" s="6" t="s">
        <v>550</v>
      </c>
      <c r="H4" s="6" t="s">
        <v>454</v>
      </c>
      <c r="I4" s="6">
        <v>1000</v>
      </c>
      <c r="J4" s="6" t="s">
        <v>551</v>
      </c>
      <c r="K4" s="7" t="s">
        <v>456</v>
      </c>
      <c r="L4" s="5" t="s">
        <v>552</v>
      </c>
      <c r="P4" s="1"/>
      <c r="Q4" s="1"/>
    </row>
    <row r="5" spans="1:17" x14ac:dyDescent="0.15">
      <c r="A5" s="5" t="s">
        <v>360</v>
      </c>
      <c r="B5" s="6" t="s">
        <v>362</v>
      </c>
      <c r="C5" s="6" t="s">
        <v>546</v>
      </c>
      <c r="D5" s="6" t="s">
        <v>547</v>
      </c>
      <c r="E5" s="6" t="s">
        <v>548</v>
      </c>
      <c r="F5" s="6" t="s">
        <v>362</v>
      </c>
      <c r="G5" s="6" t="s">
        <v>550</v>
      </c>
      <c r="H5" s="6" t="s">
        <v>454</v>
      </c>
      <c r="I5" s="6">
        <v>500</v>
      </c>
      <c r="J5" s="6" t="s">
        <v>551</v>
      </c>
      <c r="K5" s="7" t="s">
        <v>456</v>
      </c>
      <c r="L5" s="5" t="s">
        <v>552</v>
      </c>
      <c r="P5" s="1"/>
      <c r="Q5" s="1"/>
    </row>
    <row r="6" spans="1:17" x14ac:dyDescent="0.15">
      <c r="A6" s="5" t="s">
        <v>360</v>
      </c>
      <c r="B6" s="6" t="s">
        <v>545</v>
      </c>
      <c r="C6" s="509" t="s">
        <v>555</v>
      </c>
      <c r="D6" s="6" t="s">
        <v>547</v>
      </c>
      <c r="E6" s="6" t="s">
        <v>556</v>
      </c>
      <c r="F6" s="6" t="s">
        <v>549</v>
      </c>
      <c r="G6" s="6" t="s">
        <v>550</v>
      </c>
      <c r="H6" s="6" t="s">
        <v>454</v>
      </c>
      <c r="I6" s="6">
        <v>200</v>
      </c>
      <c r="J6" s="6" t="s">
        <v>557</v>
      </c>
      <c r="K6" s="7" t="s">
        <v>456</v>
      </c>
      <c r="L6" s="5" t="s">
        <v>552</v>
      </c>
      <c r="P6" s="1"/>
      <c r="Q6" s="1"/>
    </row>
    <row r="7" spans="1:17" x14ac:dyDescent="0.15">
      <c r="A7" s="5" t="s">
        <v>360</v>
      </c>
      <c r="B7" s="6" t="s">
        <v>545</v>
      </c>
      <c r="C7" s="509" t="s">
        <v>555</v>
      </c>
      <c r="D7" s="6" t="s">
        <v>547</v>
      </c>
      <c r="E7" s="6" t="s">
        <v>556</v>
      </c>
      <c r="F7" s="6" t="s">
        <v>553</v>
      </c>
      <c r="G7" s="6" t="s">
        <v>550</v>
      </c>
      <c r="H7" s="6" t="s">
        <v>454</v>
      </c>
      <c r="I7" s="6">
        <v>300</v>
      </c>
      <c r="J7" s="6" t="s">
        <v>557</v>
      </c>
      <c r="K7" s="7" t="s">
        <v>456</v>
      </c>
      <c r="L7" s="5" t="s">
        <v>552</v>
      </c>
      <c r="P7" s="1"/>
      <c r="Q7" s="1"/>
    </row>
    <row r="8" spans="1:17" x14ac:dyDescent="0.15">
      <c r="A8" s="5" t="s">
        <v>360</v>
      </c>
      <c r="B8" s="6" t="s">
        <v>545</v>
      </c>
      <c r="C8" s="509" t="s">
        <v>555</v>
      </c>
      <c r="D8" s="6" t="s">
        <v>547</v>
      </c>
      <c r="E8" s="6" t="s">
        <v>556</v>
      </c>
      <c r="F8" s="6" t="s">
        <v>554</v>
      </c>
      <c r="G8" s="6" t="s">
        <v>550</v>
      </c>
      <c r="H8" s="6" t="s">
        <v>454</v>
      </c>
      <c r="I8" s="6">
        <v>500</v>
      </c>
      <c r="J8" s="6" t="s">
        <v>557</v>
      </c>
      <c r="K8" s="7" t="s">
        <v>456</v>
      </c>
      <c r="L8" s="5" t="s">
        <v>552</v>
      </c>
      <c r="P8" s="1"/>
      <c r="Q8" s="1"/>
    </row>
    <row r="9" spans="1:17" x14ac:dyDescent="0.15">
      <c r="A9" s="5" t="s">
        <v>360</v>
      </c>
      <c r="B9" s="6" t="s">
        <v>362</v>
      </c>
      <c r="C9" s="509" t="s">
        <v>555</v>
      </c>
      <c r="D9" s="6" t="s">
        <v>547</v>
      </c>
      <c r="E9" s="6" t="s">
        <v>556</v>
      </c>
      <c r="F9" s="6" t="s">
        <v>362</v>
      </c>
      <c r="G9" s="6" t="s">
        <v>550</v>
      </c>
      <c r="H9" s="6" t="s">
        <v>454</v>
      </c>
      <c r="I9" s="6">
        <v>300</v>
      </c>
      <c r="J9" s="6" t="s">
        <v>557</v>
      </c>
      <c r="K9" s="7" t="s">
        <v>456</v>
      </c>
      <c r="L9" s="5" t="s">
        <v>552</v>
      </c>
      <c r="P9" s="1"/>
      <c r="Q9" s="1"/>
    </row>
    <row r="10" spans="1:17" x14ac:dyDescent="0.15">
      <c r="A10" s="510" t="s">
        <v>360</v>
      </c>
      <c r="B10" s="509" t="s">
        <v>545</v>
      </c>
      <c r="C10" s="509" t="s">
        <v>558</v>
      </c>
      <c r="D10" s="509" t="s">
        <v>547</v>
      </c>
      <c r="E10" s="509" t="s">
        <v>559</v>
      </c>
      <c r="F10" s="6" t="s">
        <v>549</v>
      </c>
      <c r="G10" s="6" t="s">
        <v>550</v>
      </c>
      <c r="H10" s="6" t="s">
        <v>454</v>
      </c>
      <c r="I10" s="6">
        <v>400</v>
      </c>
      <c r="J10" s="509" t="s">
        <v>560</v>
      </c>
      <c r="K10" s="7" t="s">
        <v>456</v>
      </c>
      <c r="L10" s="5" t="s">
        <v>552</v>
      </c>
      <c r="M10" s="511"/>
      <c r="N10" s="511"/>
      <c r="O10" s="511"/>
      <c r="P10" s="511"/>
      <c r="Q10" s="511"/>
    </row>
    <row r="11" spans="1:17" x14ac:dyDescent="0.15">
      <c r="A11" s="510" t="s">
        <v>360</v>
      </c>
      <c r="B11" s="509" t="s">
        <v>545</v>
      </c>
      <c r="C11" s="509" t="s">
        <v>558</v>
      </c>
      <c r="D11" s="509" t="s">
        <v>547</v>
      </c>
      <c r="E11" s="509" t="s">
        <v>559</v>
      </c>
      <c r="F11" s="6" t="s">
        <v>553</v>
      </c>
      <c r="G11" s="6" t="s">
        <v>550</v>
      </c>
      <c r="H11" s="6" t="s">
        <v>454</v>
      </c>
      <c r="I11" s="6">
        <v>400</v>
      </c>
      <c r="J11" s="509" t="s">
        <v>560</v>
      </c>
      <c r="K11" s="7" t="s">
        <v>456</v>
      </c>
      <c r="L11" s="5" t="s">
        <v>552</v>
      </c>
      <c r="M11" s="511"/>
      <c r="N11" s="511"/>
      <c r="O11" s="511"/>
      <c r="P11" s="511"/>
      <c r="Q11" s="511"/>
    </row>
    <row r="12" spans="1:17" x14ac:dyDescent="0.15">
      <c r="A12" s="510" t="s">
        <v>360</v>
      </c>
      <c r="B12" s="509" t="s">
        <v>545</v>
      </c>
      <c r="C12" s="509" t="s">
        <v>558</v>
      </c>
      <c r="D12" s="509" t="s">
        <v>547</v>
      </c>
      <c r="E12" s="509" t="s">
        <v>559</v>
      </c>
      <c r="F12" s="6" t="s">
        <v>554</v>
      </c>
      <c r="G12" s="6" t="s">
        <v>550</v>
      </c>
      <c r="H12" s="6" t="s">
        <v>454</v>
      </c>
      <c r="I12" s="6">
        <v>400</v>
      </c>
      <c r="J12" s="509" t="s">
        <v>560</v>
      </c>
      <c r="K12" s="7" t="s">
        <v>456</v>
      </c>
      <c r="L12" s="5" t="s">
        <v>552</v>
      </c>
      <c r="M12" s="511"/>
      <c r="N12" s="511"/>
      <c r="O12" s="511"/>
      <c r="P12" s="511"/>
      <c r="Q12" s="511"/>
    </row>
    <row r="13" spans="1:17" x14ac:dyDescent="0.15">
      <c r="A13" s="510" t="s">
        <v>360</v>
      </c>
      <c r="B13" s="509" t="s">
        <v>362</v>
      </c>
      <c r="C13" s="509" t="s">
        <v>558</v>
      </c>
      <c r="D13" s="509" t="s">
        <v>547</v>
      </c>
      <c r="E13" s="509" t="s">
        <v>559</v>
      </c>
      <c r="F13" s="509" t="s">
        <v>362</v>
      </c>
      <c r="G13" s="6" t="s">
        <v>550</v>
      </c>
      <c r="H13" s="509" t="s">
        <v>454</v>
      </c>
      <c r="I13" s="509">
        <v>400</v>
      </c>
      <c r="J13" s="509" t="s">
        <v>560</v>
      </c>
      <c r="K13" s="7" t="s">
        <v>456</v>
      </c>
      <c r="L13" s="5" t="s">
        <v>552</v>
      </c>
      <c r="P13" s="1"/>
      <c r="Q13" s="1"/>
    </row>
    <row r="14" spans="1:17" x14ac:dyDescent="0.15">
      <c r="A14" s="510" t="s">
        <v>360</v>
      </c>
      <c r="B14" s="509" t="s">
        <v>545</v>
      </c>
      <c r="C14" s="509" t="s">
        <v>561</v>
      </c>
      <c r="D14" s="509" t="s">
        <v>547</v>
      </c>
      <c r="E14" s="509" t="s">
        <v>559</v>
      </c>
      <c r="F14" s="6" t="s">
        <v>549</v>
      </c>
      <c r="G14" s="6" t="s">
        <v>550</v>
      </c>
      <c r="H14" s="509" t="s">
        <v>454</v>
      </c>
      <c r="I14" s="509">
        <v>300</v>
      </c>
      <c r="J14" s="509" t="s">
        <v>562</v>
      </c>
      <c r="K14" s="7" t="s">
        <v>456</v>
      </c>
      <c r="L14" s="5" t="s">
        <v>552</v>
      </c>
      <c r="P14" s="1"/>
      <c r="Q14" s="1"/>
    </row>
    <row r="15" spans="1:17" x14ac:dyDescent="0.15">
      <c r="A15" s="510" t="s">
        <v>360</v>
      </c>
      <c r="B15" s="509" t="s">
        <v>545</v>
      </c>
      <c r="C15" s="509" t="s">
        <v>561</v>
      </c>
      <c r="D15" s="509" t="s">
        <v>547</v>
      </c>
      <c r="E15" s="509" t="s">
        <v>559</v>
      </c>
      <c r="F15" s="6" t="s">
        <v>553</v>
      </c>
      <c r="G15" s="6" t="s">
        <v>550</v>
      </c>
      <c r="H15" s="509" t="s">
        <v>454</v>
      </c>
      <c r="I15" s="509">
        <v>300</v>
      </c>
      <c r="J15" s="509" t="s">
        <v>562</v>
      </c>
      <c r="K15" s="7" t="s">
        <v>456</v>
      </c>
      <c r="L15" s="5" t="s">
        <v>552</v>
      </c>
      <c r="P15" s="1"/>
      <c r="Q15" s="1"/>
    </row>
    <row r="16" spans="1:17" x14ac:dyDescent="0.15">
      <c r="A16" s="510" t="s">
        <v>360</v>
      </c>
      <c r="B16" s="509" t="s">
        <v>545</v>
      </c>
      <c r="C16" s="509" t="s">
        <v>561</v>
      </c>
      <c r="D16" s="509" t="s">
        <v>547</v>
      </c>
      <c r="E16" s="509" t="s">
        <v>559</v>
      </c>
      <c r="F16" s="6" t="s">
        <v>554</v>
      </c>
      <c r="G16" s="6" t="s">
        <v>550</v>
      </c>
      <c r="H16" s="509" t="s">
        <v>454</v>
      </c>
      <c r="I16" s="509">
        <v>300</v>
      </c>
      <c r="J16" s="509" t="s">
        <v>562</v>
      </c>
      <c r="K16" s="7" t="s">
        <v>456</v>
      </c>
      <c r="L16" s="5" t="s">
        <v>552</v>
      </c>
      <c r="P16" s="1"/>
      <c r="Q16" s="1"/>
    </row>
    <row r="17" spans="1:17" x14ac:dyDescent="0.15">
      <c r="A17" s="510" t="s">
        <v>360</v>
      </c>
      <c r="B17" s="509" t="s">
        <v>362</v>
      </c>
      <c r="C17" s="509" t="s">
        <v>561</v>
      </c>
      <c r="D17" s="509" t="s">
        <v>547</v>
      </c>
      <c r="E17" s="509" t="s">
        <v>559</v>
      </c>
      <c r="F17" s="509" t="s">
        <v>362</v>
      </c>
      <c r="G17" s="6" t="s">
        <v>550</v>
      </c>
      <c r="H17" s="509" t="s">
        <v>454</v>
      </c>
      <c r="I17" s="509">
        <v>300</v>
      </c>
      <c r="J17" s="509" t="s">
        <v>562</v>
      </c>
      <c r="K17" s="7" t="s">
        <v>456</v>
      </c>
      <c r="L17" s="5" t="s">
        <v>552</v>
      </c>
      <c r="P17" s="1"/>
      <c r="Q17" s="1"/>
    </row>
    <row r="18" spans="1:17" x14ac:dyDescent="0.15">
      <c r="A18" s="510" t="s">
        <v>360</v>
      </c>
      <c r="B18" s="509" t="s">
        <v>545</v>
      </c>
      <c r="C18" s="509" t="s">
        <v>563</v>
      </c>
      <c r="D18" s="509" t="s">
        <v>564</v>
      </c>
      <c r="E18" s="509" t="s">
        <v>467</v>
      </c>
      <c r="F18" s="509" t="s">
        <v>549</v>
      </c>
      <c r="G18" s="509" t="s">
        <v>565</v>
      </c>
      <c r="H18" s="509" t="s">
        <v>470</v>
      </c>
      <c r="I18" s="509">
        <v>3</v>
      </c>
      <c r="J18" s="509" t="s">
        <v>566</v>
      </c>
      <c r="K18" s="7" t="s">
        <v>456</v>
      </c>
      <c r="L18" s="5" t="s">
        <v>552</v>
      </c>
      <c r="P18" s="1"/>
      <c r="Q18" s="1"/>
    </row>
    <row r="19" spans="1:17" x14ac:dyDescent="0.2">
      <c r="A19" s="510" t="s">
        <v>360</v>
      </c>
      <c r="B19" s="509" t="s">
        <v>545</v>
      </c>
      <c r="C19" s="509" t="s">
        <v>563</v>
      </c>
      <c r="D19" s="509" t="s">
        <v>564</v>
      </c>
      <c r="E19" s="509" t="s">
        <v>467</v>
      </c>
      <c r="F19" s="509" t="s">
        <v>553</v>
      </c>
      <c r="G19" s="509" t="s">
        <v>565</v>
      </c>
      <c r="H19" s="509" t="s">
        <v>470</v>
      </c>
      <c r="I19" s="509">
        <v>5</v>
      </c>
      <c r="J19" s="509" t="s">
        <v>566</v>
      </c>
      <c r="K19" s="7" t="s">
        <v>456</v>
      </c>
      <c r="L19" s="5" t="s">
        <v>552</v>
      </c>
      <c r="M19"/>
      <c r="N19"/>
      <c r="P19" s="1"/>
      <c r="Q19" s="1"/>
    </row>
    <row r="20" spans="1:17" x14ac:dyDescent="0.2">
      <c r="A20" s="510" t="s">
        <v>360</v>
      </c>
      <c r="B20" s="509" t="s">
        <v>545</v>
      </c>
      <c r="C20" s="509" t="s">
        <v>563</v>
      </c>
      <c r="D20" s="509" t="s">
        <v>564</v>
      </c>
      <c r="E20" s="509" t="s">
        <v>467</v>
      </c>
      <c r="F20" s="509" t="s">
        <v>554</v>
      </c>
      <c r="G20" s="509" t="s">
        <v>565</v>
      </c>
      <c r="H20" s="509" t="s">
        <v>470</v>
      </c>
      <c r="I20" s="509">
        <v>5</v>
      </c>
      <c r="J20" s="509" t="s">
        <v>566</v>
      </c>
      <c r="K20" s="7" t="s">
        <v>456</v>
      </c>
      <c r="L20" s="5" t="s">
        <v>552</v>
      </c>
    </row>
    <row r="21" spans="1:17" x14ac:dyDescent="0.2">
      <c r="A21" s="510" t="s">
        <v>360</v>
      </c>
      <c r="B21" s="509" t="s">
        <v>362</v>
      </c>
      <c r="C21" s="509" t="s">
        <v>563</v>
      </c>
      <c r="D21" s="509" t="s">
        <v>564</v>
      </c>
      <c r="E21" s="509" t="s">
        <v>467</v>
      </c>
      <c r="F21" s="509" t="s">
        <v>362</v>
      </c>
      <c r="G21" s="509" t="s">
        <v>565</v>
      </c>
      <c r="H21" s="509" t="s">
        <v>470</v>
      </c>
      <c r="I21" s="509">
        <v>5</v>
      </c>
      <c r="J21" s="509" t="s">
        <v>566</v>
      </c>
      <c r="K21" s="7" t="s">
        <v>456</v>
      </c>
      <c r="L21" s="5" t="s">
        <v>552</v>
      </c>
    </row>
    <row r="22" spans="1:17" x14ac:dyDescent="0.2">
      <c r="A22" s="5" t="s">
        <v>360</v>
      </c>
      <c r="B22" s="509" t="s">
        <v>550</v>
      </c>
      <c r="C22" s="6" t="s">
        <v>567</v>
      </c>
      <c r="D22" s="509" t="s">
        <v>564</v>
      </c>
      <c r="E22" s="6" t="s">
        <v>467</v>
      </c>
      <c r="F22" s="6" t="s">
        <v>550</v>
      </c>
      <c r="G22" s="6" t="s">
        <v>565</v>
      </c>
      <c r="H22" s="6" t="s">
        <v>470</v>
      </c>
      <c r="I22" s="6">
        <v>0.2</v>
      </c>
      <c r="J22" s="6" t="s">
        <v>568</v>
      </c>
      <c r="K22" s="7" t="s">
        <v>456</v>
      </c>
      <c r="L22" s="5" t="s">
        <v>552</v>
      </c>
    </row>
    <row r="23" spans="1:17" x14ac:dyDescent="0.2">
      <c r="A23" s="5" t="s">
        <v>360</v>
      </c>
      <c r="B23" s="509" t="s">
        <v>550</v>
      </c>
      <c r="C23" s="6" t="s">
        <v>569</v>
      </c>
      <c r="D23" s="6" t="s">
        <v>570</v>
      </c>
      <c r="E23" s="6" t="s">
        <v>461</v>
      </c>
      <c r="F23" s="6" t="s">
        <v>550</v>
      </c>
      <c r="G23" s="6" t="s">
        <v>571</v>
      </c>
      <c r="H23" s="6" t="s">
        <v>470</v>
      </c>
      <c r="I23" s="6">
        <v>0.01</v>
      </c>
      <c r="J23" s="6" t="s">
        <v>572</v>
      </c>
      <c r="K23" s="7" t="s">
        <v>456</v>
      </c>
      <c r="L23" s="5" t="s">
        <v>552</v>
      </c>
    </row>
    <row r="24" spans="1:17" x14ac:dyDescent="0.2">
      <c r="A24" s="5" t="s">
        <v>360</v>
      </c>
      <c r="B24" s="509" t="s">
        <v>550</v>
      </c>
      <c r="C24" s="6" t="s">
        <v>573</v>
      </c>
      <c r="D24" s="6" t="s">
        <v>547</v>
      </c>
      <c r="E24" s="6" t="s">
        <v>574</v>
      </c>
      <c r="F24" s="6" t="s">
        <v>550</v>
      </c>
      <c r="G24" s="6" t="s">
        <v>550</v>
      </c>
      <c r="H24" s="6" t="s">
        <v>454</v>
      </c>
      <c r="I24" s="6">
        <v>500</v>
      </c>
      <c r="J24" s="6" t="s">
        <v>575</v>
      </c>
      <c r="K24" s="7" t="s">
        <v>456</v>
      </c>
      <c r="L24" s="5" t="s">
        <v>552</v>
      </c>
    </row>
    <row r="25" spans="1:17" x14ac:dyDescent="0.2">
      <c r="A25" s="5" t="s">
        <v>360</v>
      </c>
      <c r="B25" s="509" t="s">
        <v>550</v>
      </c>
      <c r="C25" s="6" t="s">
        <v>576</v>
      </c>
      <c r="D25" s="6" t="s">
        <v>547</v>
      </c>
      <c r="E25" s="6" t="s">
        <v>577</v>
      </c>
      <c r="F25" s="6" t="s">
        <v>550</v>
      </c>
      <c r="G25" s="6" t="s">
        <v>550</v>
      </c>
      <c r="H25" s="6" t="s">
        <v>454</v>
      </c>
      <c r="I25" s="6">
        <v>1000</v>
      </c>
      <c r="J25" s="6" t="s">
        <v>578</v>
      </c>
      <c r="K25" s="7" t="s">
        <v>456</v>
      </c>
      <c r="L25" s="5" t="s">
        <v>552</v>
      </c>
    </row>
    <row r="26" spans="1:17" x14ac:dyDescent="0.2">
      <c r="A26" s="5" t="s">
        <v>360</v>
      </c>
      <c r="B26" s="509" t="s">
        <v>550</v>
      </c>
      <c r="C26" s="6" t="s">
        <v>579</v>
      </c>
      <c r="D26" s="6" t="s">
        <v>580</v>
      </c>
      <c r="E26" s="6" t="s">
        <v>581</v>
      </c>
      <c r="F26" s="6" t="s">
        <v>550</v>
      </c>
      <c r="G26" s="6" t="s">
        <v>565</v>
      </c>
      <c r="H26" s="6" t="s">
        <v>582</v>
      </c>
      <c r="I26" s="6">
        <v>0.01</v>
      </c>
      <c r="J26" s="6" t="s">
        <v>583</v>
      </c>
      <c r="K26" s="7" t="s">
        <v>584</v>
      </c>
      <c r="L26" s="5" t="s">
        <v>552</v>
      </c>
    </row>
    <row r="27" spans="1:17" x14ac:dyDescent="0.2">
      <c r="A27" s="510" t="s">
        <v>360</v>
      </c>
      <c r="B27" s="512" t="s">
        <v>362</v>
      </c>
      <c r="C27" s="512" t="s">
        <v>585</v>
      </c>
      <c r="D27" s="512" t="s">
        <v>586</v>
      </c>
      <c r="E27" s="512"/>
      <c r="F27" s="512" t="s">
        <v>550</v>
      </c>
      <c r="G27" s="512" t="s">
        <v>550</v>
      </c>
      <c r="H27" s="512"/>
      <c r="I27" s="512"/>
      <c r="J27" s="512"/>
      <c r="K27" s="512"/>
      <c r="L27" s="513"/>
    </row>
    <row r="28" spans="1:17" x14ac:dyDescent="0.2">
      <c r="A28" s="510" t="s">
        <v>360</v>
      </c>
      <c r="B28" s="512" t="s">
        <v>362</v>
      </c>
      <c r="C28" s="512" t="s">
        <v>587</v>
      </c>
      <c r="D28" s="512" t="s">
        <v>586</v>
      </c>
      <c r="E28" s="512"/>
      <c r="F28" s="512" t="s">
        <v>550</v>
      </c>
      <c r="G28" s="512" t="s">
        <v>550</v>
      </c>
      <c r="H28" s="512"/>
      <c r="I28" s="512"/>
      <c r="J28" s="512"/>
      <c r="K28" s="512"/>
      <c r="L28" s="513"/>
    </row>
    <row r="29" spans="1:17" x14ac:dyDescent="0.2">
      <c r="A29" s="510" t="s">
        <v>360</v>
      </c>
      <c r="B29" s="512" t="s">
        <v>545</v>
      </c>
      <c r="C29" s="512" t="s">
        <v>585</v>
      </c>
      <c r="D29" s="512" t="s">
        <v>586</v>
      </c>
      <c r="E29" s="512"/>
      <c r="F29" s="512" t="s">
        <v>550</v>
      </c>
      <c r="G29" s="512" t="s">
        <v>550</v>
      </c>
      <c r="H29" s="512"/>
      <c r="I29" s="512"/>
      <c r="J29" s="512"/>
      <c r="K29" s="512"/>
      <c r="L29" s="513"/>
    </row>
    <row r="30" spans="1:17" x14ac:dyDescent="0.2">
      <c r="A30" s="510" t="s">
        <v>360</v>
      </c>
      <c r="B30" s="512" t="s">
        <v>545</v>
      </c>
      <c r="C30" s="512" t="s">
        <v>587</v>
      </c>
      <c r="D30" s="512" t="s">
        <v>586</v>
      </c>
      <c r="E30" s="512"/>
      <c r="F30" s="512" t="s">
        <v>550</v>
      </c>
      <c r="G30" s="512" t="s">
        <v>550</v>
      </c>
      <c r="H30" s="512"/>
      <c r="I30" s="512"/>
      <c r="J30" s="512"/>
      <c r="K30" s="512"/>
      <c r="L30" s="513"/>
    </row>
    <row r="31" spans="1:17" x14ac:dyDescent="0.2">
      <c r="A31" s="510" t="s">
        <v>588</v>
      </c>
      <c r="B31" s="512" t="s">
        <v>545</v>
      </c>
      <c r="C31" s="512" t="s">
        <v>585</v>
      </c>
      <c r="D31" s="512" t="s">
        <v>586</v>
      </c>
      <c r="E31" s="512"/>
      <c r="F31" s="512" t="s">
        <v>550</v>
      </c>
      <c r="G31" s="512" t="s">
        <v>550</v>
      </c>
      <c r="H31" s="512"/>
      <c r="I31" s="512"/>
      <c r="J31" s="512"/>
      <c r="K31" s="512"/>
      <c r="L31" s="513"/>
      <c r="M31" s="511"/>
      <c r="N31" s="511"/>
      <c r="O31" s="511"/>
    </row>
    <row r="32" spans="1:17" x14ac:dyDescent="0.2">
      <c r="A32" s="510" t="s">
        <v>588</v>
      </c>
      <c r="B32" s="512" t="s">
        <v>545</v>
      </c>
      <c r="C32" s="512" t="s">
        <v>587</v>
      </c>
      <c r="D32" s="512" t="s">
        <v>586</v>
      </c>
      <c r="E32" s="512"/>
      <c r="F32" s="512" t="s">
        <v>550</v>
      </c>
      <c r="G32" s="512" t="s">
        <v>550</v>
      </c>
      <c r="H32" s="512"/>
      <c r="I32" s="512"/>
      <c r="J32" s="512"/>
      <c r="K32" s="512"/>
      <c r="L32" s="513"/>
      <c r="M32" s="511"/>
      <c r="N32" s="511"/>
      <c r="O32" s="511"/>
    </row>
    <row r="33" spans="1:15" x14ac:dyDescent="0.2">
      <c r="A33" s="510" t="s">
        <v>588</v>
      </c>
      <c r="B33" s="512" t="s">
        <v>545</v>
      </c>
      <c r="C33" s="512" t="s">
        <v>585</v>
      </c>
      <c r="D33" s="512" t="s">
        <v>586</v>
      </c>
      <c r="E33" s="512"/>
      <c r="F33" s="512" t="s">
        <v>550</v>
      </c>
      <c r="G33" s="512" t="s">
        <v>550</v>
      </c>
      <c r="H33" s="512"/>
      <c r="I33" s="512"/>
      <c r="J33" s="512"/>
      <c r="K33" s="512"/>
      <c r="L33" s="513"/>
      <c r="M33" s="511"/>
      <c r="N33" s="511"/>
      <c r="O33" s="511"/>
    </row>
    <row r="34" spans="1:15" x14ac:dyDescent="0.2">
      <c r="A34" s="510" t="s">
        <v>588</v>
      </c>
      <c r="B34" s="512" t="s">
        <v>545</v>
      </c>
      <c r="C34" s="512" t="s">
        <v>587</v>
      </c>
      <c r="D34" s="512" t="s">
        <v>586</v>
      </c>
      <c r="E34" s="512"/>
      <c r="F34" s="512" t="s">
        <v>550</v>
      </c>
      <c r="G34" s="512" t="s">
        <v>550</v>
      </c>
      <c r="H34" s="512"/>
      <c r="I34" s="512"/>
      <c r="J34" s="512"/>
      <c r="K34" s="512"/>
      <c r="L34" s="513"/>
      <c r="M34" s="511"/>
      <c r="N34" s="511"/>
      <c r="O34" s="511"/>
    </row>
    <row r="35" spans="1:15" x14ac:dyDescent="0.2">
      <c r="A35" s="5" t="s">
        <v>588</v>
      </c>
      <c r="B35" s="6" t="s">
        <v>545</v>
      </c>
      <c r="C35" s="509" t="s">
        <v>589</v>
      </c>
      <c r="D35" s="6" t="s">
        <v>547</v>
      </c>
      <c r="E35" s="6" t="s">
        <v>590</v>
      </c>
      <c r="F35" s="6" t="s">
        <v>550</v>
      </c>
      <c r="G35" s="6" t="s">
        <v>550</v>
      </c>
      <c r="H35" s="6" t="s">
        <v>454</v>
      </c>
      <c r="I35" s="6">
        <v>10000</v>
      </c>
      <c r="J35" s="6" t="s">
        <v>591</v>
      </c>
      <c r="K35" s="7" t="s">
        <v>592</v>
      </c>
      <c r="L35" s="5" t="s">
        <v>593</v>
      </c>
    </row>
    <row r="36" spans="1:15" x14ac:dyDescent="0.2">
      <c r="A36" s="5" t="s">
        <v>588</v>
      </c>
      <c r="B36" s="6" t="s">
        <v>545</v>
      </c>
      <c r="C36" s="509" t="s">
        <v>594</v>
      </c>
      <c r="D36" s="6" t="s">
        <v>547</v>
      </c>
      <c r="E36" s="6" t="s">
        <v>590</v>
      </c>
      <c r="F36" s="6" t="s">
        <v>550</v>
      </c>
      <c r="G36" s="6" t="s">
        <v>550</v>
      </c>
      <c r="H36" s="6" t="s">
        <v>454</v>
      </c>
      <c r="I36" s="6">
        <v>100000</v>
      </c>
      <c r="J36" s="6" t="s">
        <v>595</v>
      </c>
      <c r="K36" s="6" t="s">
        <v>592</v>
      </c>
      <c r="L36" s="5" t="s">
        <v>593</v>
      </c>
    </row>
    <row r="37" spans="1:15" x14ac:dyDescent="0.2">
      <c r="A37" s="5" t="s">
        <v>588</v>
      </c>
      <c r="B37" s="6" t="s">
        <v>545</v>
      </c>
      <c r="C37" s="509" t="s">
        <v>596</v>
      </c>
      <c r="D37" s="6" t="s">
        <v>547</v>
      </c>
      <c r="E37" s="6" t="s">
        <v>597</v>
      </c>
      <c r="F37" s="6" t="s">
        <v>550</v>
      </c>
      <c r="G37" s="6" t="s">
        <v>550</v>
      </c>
      <c r="H37" s="6" t="s">
        <v>454</v>
      </c>
      <c r="I37" s="6">
        <v>100000</v>
      </c>
      <c r="J37" s="6" t="s">
        <v>598</v>
      </c>
      <c r="K37" s="7" t="s">
        <v>592</v>
      </c>
      <c r="L37" s="5" t="s">
        <v>593</v>
      </c>
    </row>
    <row r="38" spans="1:15" x14ac:dyDescent="0.2">
      <c r="A38" s="5" t="s">
        <v>588</v>
      </c>
      <c r="B38" s="6" t="s">
        <v>545</v>
      </c>
      <c r="C38" s="509" t="s">
        <v>599</v>
      </c>
      <c r="D38" s="6" t="s">
        <v>547</v>
      </c>
      <c r="E38" s="6" t="s">
        <v>597</v>
      </c>
      <c r="F38" s="6" t="s">
        <v>550</v>
      </c>
      <c r="G38" s="6" t="s">
        <v>550</v>
      </c>
      <c r="H38" s="6" t="s">
        <v>454</v>
      </c>
      <c r="I38" s="6">
        <v>200000</v>
      </c>
      <c r="J38" s="6" t="s">
        <v>600</v>
      </c>
      <c r="K38" s="6" t="s">
        <v>592</v>
      </c>
      <c r="L38" s="5" t="s">
        <v>593</v>
      </c>
    </row>
    <row r="39" spans="1:15" x14ac:dyDescent="0.2">
      <c r="A39" s="5" t="s">
        <v>588</v>
      </c>
      <c r="B39" s="6" t="s">
        <v>545</v>
      </c>
      <c r="C39" s="6" t="s">
        <v>601</v>
      </c>
      <c r="D39" s="6" t="s">
        <v>547</v>
      </c>
      <c r="E39" s="6" t="s">
        <v>602</v>
      </c>
      <c r="F39" s="6" t="s">
        <v>603</v>
      </c>
      <c r="G39" s="6" t="s">
        <v>550</v>
      </c>
      <c r="H39" s="6" t="s">
        <v>454</v>
      </c>
      <c r="I39" s="6">
        <v>150000</v>
      </c>
      <c r="J39" s="6" t="s">
        <v>604</v>
      </c>
      <c r="K39" s="6" t="s">
        <v>592</v>
      </c>
      <c r="L39" s="5" t="s">
        <v>593</v>
      </c>
    </row>
    <row r="40" spans="1:15" x14ac:dyDescent="0.2">
      <c r="A40" s="5" t="s">
        <v>588</v>
      </c>
      <c r="B40" s="6" t="s">
        <v>545</v>
      </c>
      <c r="C40" s="6" t="s">
        <v>601</v>
      </c>
      <c r="D40" s="6" t="s">
        <v>547</v>
      </c>
      <c r="E40" s="6" t="s">
        <v>602</v>
      </c>
      <c r="F40" s="6" t="s">
        <v>605</v>
      </c>
      <c r="G40" s="6" t="s">
        <v>550</v>
      </c>
      <c r="H40" s="6" t="s">
        <v>454</v>
      </c>
      <c r="I40" s="6">
        <v>300000</v>
      </c>
      <c r="J40" s="6" t="s">
        <v>606</v>
      </c>
      <c r="K40" s="6" t="s">
        <v>592</v>
      </c>
      <c r="L40" s="5" t="s">
        <v>593</v>
      </c>
    </row>
    <row r="41" spans="1:15" x14ac:dyDescent="0.2">
      <c r="A41" s="5" t="s">
        <v>588</v>
      </c>
      <c r="B41" s="6" t="s">
        <v>545</v>
      </c>
      <c r="C41" s="6" t="s">
        <v>607</v>
      </c>
      <c r="D41" s="6" t="s">
        <v>547</v>
      </c>
      <c r="E41" s="509" t="s">
        <v>608</v>
      </c>
      <c r="F41" s="6" t="s">
        <v>603</v>
      </c>
      <c r="G41" s="6" t="s">
        <v>550</v>
      </c>
      <c r="H41" s="6" t="s">
        <v>470</v>
      </c>
      <c r="I41" s="6">
        <v>0.1</v>
      </c>
      <c r="J41" s="6" t="s">
        <v>609</v>
      </c>
      <c r="K41" s="6" t="s">
        <v>456</v>
      </c>
      <c r="L41" s="5" t="s">
        <v>593</v>
      </c>
    </row>
    <row r="42" spans="1:15" x14ac:dyDescent="0.2">
      <c r="A42" s="5" t="s">
        <v>588</v>
      </c>
      <c r="B42" s="6" t="s">
        <v>545</v>
      </c>
      <c r="C42" s="6" t="s">
        <v>610</v>
      </c>
      <c r="D42" s="6" t="s">
        <v>547</v>
      </c>
      <c r="E42" s="509" t="s">
        <v>608</v>
      </c>
      <c r="F42" s="6" t="s">
        <v>605</v>
      </c>
      <c r="G42" s="6" t="s">
        <v>550</v>
      </c>
      <c r="H42" s="6" t="s">
        <v>470</v>
      </c>
      <c r="I42" s="6">
        <v>0.2</v>
      </c>
      <c r="J42" s="6" t="s">
        <v>611</v>
      </c>
      <c r="K42" s="6" t="s">
        <v>456</v>
      </c>
      <c r="L42" s="5" t="s">
        <v>593</v>
      </c>
    </row>
    <row r="43" spans="1:15" x14ac:dyDescent="0.2">
      <c r="A43" s="510" t="s">
        <v>588</v>
      </c>
      <c r="B43" s="509" t="s">
        <v>550</v>
      </c>
      <c r="C43" s="6" t="s">
        <v>569</v>
      </c>
      <c r="D43" s="6" t="s">
        <v>570</v>
      </c>
      <c r="E43" s="6" t="s">
        <v>461</v>
      </c>
      <c r="F43" s="6" t="s">
        <v>550</v>
      </c>
      <c r="G43" s="6" t="s">
        <v>571</v>
      </c>
      <c r="H43" s="6" t="s">
        <v>470</v>
      </c>
      <c r="I43" s="6">
        <v>0.01</v>
      </c>
      <c r="J43" s="6" t="s">
        <v>572</v>
      </c>
      <c r="K43" s="7" t="s">
        <v>456</v>
      </c>
      <c r="L43" s="5" t="s">
        <v>552</v>
      </c>
    </row>
    <row r="44" spans="1:15" x14ac:dyDescent="0.2">
      <c r="A44" s="510" t="s">
        <v>588</v>
      </c>
      <c r="B44" s="509" t="s">
        <v>545</v>
      </c>
      <c r="C44" s="512" t="s">
        <v>585</v>
      </c>
      <c r="D44" s="509" t="s">
        <v>564</v>
      </c>
      <c r="E44" s="509" t="s">
        <v>467</v>
      </c>
      <c r="F44" s="509" t="s">
        <v>550</v>
      </c>
      <c r="G44" s="509" t="s">
        <v>565</v>
      </c>
      <c r="H44" s="509" t="s">
        <v>454</v>
      </c>
      <c r="I44" s="509"/>
      <c r="J44" s="509" t="s">
        <v>612</v>
      </c>
      <c r="K44" s="509" t="s">
        <v>456</v>
      </c>
      <c r="L44" s="510" t="s">
        <v>593</v>
      </c>
    </row>
    <row r="45" spans="1:15" x14ac:dyDescent="0.2">
      <c r="A45" s="510" t="s">
        <v>588</v>
      </c>
      <c r="B45" s="509" t="s">
        <v>545</v>
      </c>
      <c r="C45" s="512" t="s">
        <v>585</v>
      </c>
      <c r="D45" s="509" t="s">
        <v>564</v>
      </c>
      <c r="E45" s="509" t="s">
        <v>467</v>
      </c>
      <c r="F45" s="509" t="s">
        <v>550</v>
      </c>
      <c r="G45" s="509" t="s">
        <v>565</v>
      </c>
      <c r="H45" s="509" t="s">
        <v>470</v>
      </c>
      <c r="I45" s="509"/>
      <c r="J45" s="509" t="s">
        <v>612</v>
      </c>
      <c r="K45" s="509" t="s">
        <v>456</v>
      </c>
      <c r="L45" s="510" t="s">
        <v>593</v>
      </c>
    </row>
    <row r="46" spans="1:15" x14ac:dyDescent="0.2">
      <c r="A46" s="5" t="s">
        <v>588</v>
      </c>
      <c r="B46" s="6" t="s">
        <v>545</v>
      </c>
      <c r="C46" s="6" t="s">
        <v>563</v>
      </c>
      <c r="D46" s="6" t="s">
        <v>564</v>
      </c>
      <c r="E46" s="509" t="s">
        <v>467</v>
      </c>
      <c r="F46" s="6" t="s">
        <v>550</v>
      </c>
      <c r="G46" s="6" t="s">
        <v>565</v>
      </c>
      <c r="H46" s="6" t="s">
        <v>470</v>
      </c>
      <c r="I46" s="6">
        <v>4</v>
      </c>
      <c r="J46" s="6" t="s">
        <v>612</v>
      </c>
      <c r="K46" s="6" t="s">
        <v>456</v>
      </c>
      <c r="L46" s="5" t="s">
        <v>593</v>
      </c>
    </row>
    <row r="47" spans="1:15" x14ac:dyDescent="0.2">
      <c r="A47" s="5" t="s">
        <v>613</v>
      </c>
      <c r="B47" s="6" t="s">
        <v>545</v>
      </c>
      <c r="C47" s="6" t="s">
        <v>614</v>
      </c>
      <c r="D47" s="6" t="s">
        <v>547</v>
      </c>
      <c r="E47" s="6" t="s">
        <v>590</v>
      </c>
      <c r="F47" s="6" t="s">
        <v>550</v>
      </c>
      <c r="G47" s="6" t="s">
        <v>550</v>
      </c>
      <c r="H47" s="6" t="s">
        <v>454</v>
      </c>
      <c r="I47" s="6">
        <v>0</v>
      </c>
      <c r="J47" s="6" t="s">
        <v>615</v>
      </c>
      <c r="K47" s="6" t="s">
        <v>456</v>
      </c>
      <c r="L47" s="5" t="s">
        <v>616</v>
      </c>
    </row>
    <row r="48" spans="1:15" x14ac:dyDescent="0.2">
      <c r="A48" s="5" t="s">
        <v>613</v>
      </c>
      <c r="B48" s="6" t="s">
        <v>545</v>
      </c>
      <c r="C48" s="6" t="s">
        <v>617</v>
      </c>
      <c r="D48" s="6" t="s">
        <v>547</v>
      </c>
      <c r="E48" s="6" t="s">
        <v>618</v>
      </c>
      <c r="F48" s="6" t="s">
        <v>550</v>
      </c>
      <c r="G48" s="6" t="s">
        <v>550</v>
      </c>
      <c r="H48" s="6" t="s">
        <v>454</v>
      </c>
      <c r="I48" s="6">
        <v>5000</v>
      </c>
      <c r="J48" s="6" t="s">
        <v>619</v>
      </c>
      <c r="K48" s="6" t="s">
        <v>456</v>
      </c>
      <c r="L48" s="5" t="s">
        <v>616</v>
      </c>
    </row>
    <row r="49" spans="1:15" x14ac:dyDescent="0.2">
      <c r="A49" s="5" t="s">
        <v>613</v>
      </c>
      <c r="B49" s="6" t="s">
        <v>545</v>
      </c>
      <c r="C49" s="6" t="s">
        <v>620</v>
      </c>
      <c r="D49" s="6" t="s">
        <v>547</v>
      </c>
      <c r="E49" s="6" t="s">
        <v>621</v>
      </c>
      <c r="F49" s="6" t="s">
        <v>550</v>
      </c>
      <c r="G49" s="6" t="s">
        <v>550</v>
      </c>
      <c r="H49" s="6" t="s">
        <v>454</v>
      </c>
      <c r="I49" s="6">
        <v>5000</v>
      </c>
      <c r="J49" s="6" t="s">
        <v>622</v>
      </c>
      <c r="K49" s="6" t="s">
        <v>456</v>
      </c>
      <c r="L49" s="5" t="s">
        <v>616</v>
      </c>
    </row>
    <row r="50" spans="1:15" x14ac:dyDescent="0.2">
      <c r="A50" s="5" t="s">
        <v>613</v>
      </c>
      <c r="B50" s="6" t="s">
        <v>545</v>
      </c>
      <c r="C50" s="6" t="s">
        <v>623</v>
      </c>
      <c r="D50" s="6" t="s">
        <v>547</v>
      </c>
      <c r="E50" s="509" t="s">
        <v>624</v>
      </c>
      <c r="F50" s="6" t="s">
        <v>550</v>
      </c>
      <c r="G50" s="6" t="s">
        <v>550</v>
      </c>
      <c r="H50" s="6" t="s">
        <v>470</v>
      </c>
      <c r="I50" s="6">
        <v>0.1</v>
      </c>
      <c r="J50" s="6" t="s">
        <v>625</v>
      </c>
      <c r="K50" s="6" t="s">
        <v>456</v>
      </c>
      <c r="L50" s="5" t="s">
        <v>616</v>
      </c>
    </row>
    <row r="51" spans="1:15" x14ac:dyDescent="0.2">
      <c r="A51" s="5" t="s">
        <v>613</v>
      </c>
      <c r="B51" s="6" t="s">
        <v>545</v>
      </c>
      <c r="C51" s="6" t="s">
        <v>626</v>
      </c>
      <c r="D51" s="6" t="s">
        <v>547</v>
      </c>
      <c r="E51" s="6" t="s">
        <v>627</v>
      </c>
      <c r="F51" s="6" t="s">
        <v>550</v>
      </c>
      <c r="G51" s="6" t="s">
        <v>550</v>
      </c>
      <c r="H51" s="6" t="s">
        <v>454</v>
      </c>
      <c r="I51" s="6">
        <v>500</v>
      </c>
      <c r="J51" s="6" t="s">
        <v>628</v>
      </c>
      <c r="K51" s="6" t="s">
        <v>456</v>
      </c>
      <c r="L51" s="5" t="s">
        <v>616</v>
      </c>
    </row>
    <row r="52" spans="1:15" x14ac:dyDescent="0.2">
      <c r="A52" s="5" t="s">
        <v>613</v>
      </c>
      <c r="B52" s="6" t="s">
        <v>545</v>
      </c>
      <c r="C52" s="6" t="s">
        <v>629</v>
      </c>
      <c r="D52" s="6" t="s">
        <v>570</v>
      </c>
      <c r="E52" s="509" t="s">
        <v>630</v>
      </c>
      <c r="F52" s="6" t="s">
        <v>550</v>
      </c>
      <c r="G52" s="6" t="s">
        <v>550</v>
      </c>
      <c r="H52" s="6" t="s">
        <v>471</v>
      </c>
      <c r="I52" s="6">
        <v>0.2</v>
      </c>
      <c r="J52" s="6" t="s">
        <v>631</v>
      </c>
      <c r="K52" s="509" t="s">
        <v>456</v>
      </c>
      <c r="L52" s="5" t="s">
        <v>616</v>
      </c>
    </row>
    <row r="53" spans="1:15" x14ac:dyDescent="0.2">
      <c r="A53" s="5" t="s">
        <v>613</v>
      </c>
      <c r="B53" s="6" t="s">
        <v>545</v>
      </c>
      <c r="C53" s="6" t="s">
        <v>632</v>
      </c>
      <c r="D53" s="6" t="s">
        <v>564</v>
      </c>
      <c r="E53" s="509" t="s">
        <v>633</v>
      </c>
      <c r="F53" s="6" t="s">
        <v>550</v>
      </c>
      <c r="G53" s="6" t="s">
        <v>550</v>
      </c>
      <c r="H53" s="6" t="s">
        <v>471</v>
      </c>
      <c r="I53" s="6">
        <v>0.3</v>
      </c>
      <c r="J53" s="6" t="s">
        <v>634</v>
      </c>
      <c r="K53" s="509" t="s">
        <v>456</v>
      </c>
      <c r="L53" s="5" t="s">
        <v>616</v>
      </c>
    </row>
    <row r="54" spans="1:15" x14ac:dyDescent="0.2">
      <c r="A54" s="5" t="s">
        <v>613</v>
      </c>
      <c r="B54" s="512" t="s">
        <v>545</v>
      </c>
      <c r="C54" s="512" t="s">
        <v>585</v>
      </c>
      <c r="D54" s="512" t="s">
        <v>586</v>
      </c>
      <c r="E54" s="512"/>
      <c r="F54" s="512" t="s">
        <v>550</v>
      </c>
      <c r="G54" s="512" t="s">
        <v>550</v>
      </c>
      <c r="H54" s="512"/>
      <c r="I54" s="512"/>
      <c r="J54" s="512"/>
      <c r="K54" s="512"/>
      <c r="L54" s="513"/>
      <c r="M54" s="511"/>
      <c r="N54" s="511"/>
      <c r="O54" s="511"/>
    </row>
    <row r="55" spans="1:15" x14ac:dyDescent="0.2">
      <c r="A55" s="5" t="s">
        <v>613</v>
      </c>
      <c r="B55" s="512" t="s">
        <v>545</v>
      </c>
      <c r="C55" s="512" t="s">
        <v>587</v>
      </c>
      <c r="D55" s="512" t="s">
        <v>586</v>
      </c>
      <c r="E55" s="512"/>
      <c r="F55" s="512" t="s">
        <v>550</v>
      </c>
      <c r="G55" s="512" t="s">
        <v>550</v>
      </c>
      <c r="H55" s="512"/>
      <c r="I55" s="512"/>
      <c r="J55" s="512"/>
      <c r="K55" s="512"/>
      <c r="L55" s="513"/>
      <c r="M55" s="511"/>
      <c r="N55" s="511"/>
      <c r="O55" s="511"/>
    </row>
    <row r="56" spans="1:15" x14ac:dyDescent="0.2">
      <c r="A56" s="5" t="s">
        <v>635</v>
      </c>
      <c r="B56" s="6" t="s">
        <v>362</v>
      </c>
      <c r="C56" s="6" t="s">
        <v>636</v>
      </c>
      <c r="D56" s="6" t="s">
        <v>547</v>
      </c>
      <c r="E56" s="6" t="s">
        <v>637</v>
      </c>
      <c r="F56" s="6" t="s">
        <v>638</v>
      </c>
      <c r="G56" s="6" t="s">
        <v>550</v>
      </c>
      <c r="H56" s="6" t="s">
        <v>454</v>
      </c>
      <c r="I56" s="6">
        <v>5000</v>
      </c>
      <c r="J56" s="6" t="s">
        <v>639</v>
      </c>
      <c r="K56" s="7" t="s">
        <v>640</v>
      </c>
      <c r="L56" s="5"/>
    </row>
    <row r="57" spans="1:15" x14ac:dyDescent="0.2">
      <c r="A57" s="5" t="s">
        <v>635</v>
      </c>
      <c r="B57" s="6" t="s">
        <v>362</v>
      </c>
      <c r="C57" s="6" t="s">
        <v>636</v>
      </c>
      <c r="D57" s="6" t="s">
        <v>547</v>
      </c>
      <c r="E57" s="6" t="s">
        <v>637</v>
      </c>
      <c r="F57" s="6" t="s">
        <v>641</v>
      </c>
      <c r="G57" s="6" t="s">
        <v>550</v>
      </c>
      <c r="H57" s="6" t="s">
        <v>454</v>
      </c>
      <c r="I57" s="6">
        <v>3000</v>
      </c>
      <c r="J57" s="6" t="s">
        <v>642</v>
      </c>
      <c r="K57" s="7" t="s">
        <v>640</v>
      </c>
      <c r="L57" s="5"/>
    </row>
    <row r="58" spans="1:15" x14ac:dyDescent="0.2">
      <c r="A58" s="5" t="s">
        <v>635</v>
      </c>
      <c r="B58" s="6" t="s">
        <v>362</v>
      </c>
      <c r="C58" s="6" t="s">
        <v>636</v>
      </c>
      <c r="D58" s="6" t="s">
        <v>547</v>
      </c>
      <c r="E58" s="6" t="s">
        <v>637</v>
      </c>
      <c r="F58" s="6" t="s">
        <v>643</v>
      </c>
      <c r="G58" s="6" t="s">
        <v>550</v>
      </c>
      <c r="H58" s="6" t="s">
        <v>454</v>
      </c>
      <c r="I58" s="6">
        <v>300</v>
      </c>
      <c r="J58" s="6" t="s">
        <v>644</v>
      </c>
      <c r="K58" s="7" t="s">
        <v>640</v>
      </c>
      <c r="L58" s="5"/>
    </row>
    <row r="59" spans="1:15" x14ac:dyDescent="0.2">
      <c r="A59" s="5" t="s">
        <v>635</v>
      </c>
      <c r="B59" s="6" t="s">
        <v>362</v>
      </c>
      <c r="C59" s="6" t="s">
        <v>645</v>
      </c>
      <c r="D59" s="6" t="s">
        <v>547</v>
      </c>
      <c r="E59" s="6" t="s">
        <v>637</v>
      </c>
      <c r="F59" s="6" t="s">
        <v>638</v>
      </c>
      <c r="G59" s="6" t="s">
        <v>550</v>
      </c>
      <c r="H59" s="6" t="s">
        <v>454</v>
      </c>
      <c r="I59" s="6">
        <v>1000</v>
      </c>
      <c r="J59" s="6" t="s">
        <v>639</v>
      </c>
      <c r="K59" s="7" t="s">
        <v>640</v>
      </c>
      <c r="L59" s="5"/>
    </row>
    <row r="60" spans="1:15" x14ac:dyDescent="0.2">
      <c r="A60" s="5" t="s">
        <v>635</v>
      </c>
      <c r="B60" s="6" t="s">
        <v>362</v>
      </c>
      <c r="C60" s="6" t="s">
        <v>645</v>
      </c>
      <c r="D60" s="6" t="s">
        <v>547</v>
      </c>
      <c r="E60" s="6" t="s">
        <v>637</v>
      </c>
      <c r="F60" s="6" t="s">
        <v>641</v>
      </c>
      <c r="G60" s="6" t="s">
        <v>550</v>
      </c>
      <c r="H60" s="6" t="s">
        <v>454</v>
      </c>
      <c r="I60" s="6">
        <v>800</v>
      </c>
      <c r="J60" s="6" t="s">
        <v>642</v>
      </c>
      <c r="K60" s="7" t="s">
        <v>640</v>
      </c>
      <c r="L60" s="5"/>
    </row>
    <row r="61" spans="1:15" x14ac:dyDescent="0.2">
      <c r="A61" s="5" t="s">
        <v>635</v>
      </c>
      <c r="B61" s="6" t="s">
        <v>362</v>
      </c>
      <c r="C61" s="6" t="s">
        <v>645</v>
      </c>
      <c r="D61" s="6" t="s">
        <v>547</v>
      </c>
      <c r="E61" s="6" t="s">
        <v>637</v>
      </c>
      <c r="F61" s="6" t="s">
        <v>643</v>
      </c>
      <c r="G61" s="6" t="s">
        <v>550</v>
      </c>
      <c r="H61" s="6" t="s">
        <v>454</v>
      </c>
      <c r="I61" s="6">
        <v>100</v>
      </c>
      <c r="J61" s="6" t="s">
        <v>644</v>
      </c>
      <c r="K61" s="7" t="s">
        <v>640</v>
      </c>
      <c r="L61" s="5"/>
    </row>
    <row r="62" spans="1:15" x14ac:dyDescent="0.2">
      <c r="A62" s="5" t="s">
        <v>635</v>
      </c>
      <c r="B62" s="6" t="s">
        <v>362</v>
      </c>
      <c r="C62" s="6" t="s">
        <v>646</v>
      </c>
      <c r="D62" s="6" t="s">
        <v>547</v>
      </c>
      <c r="E62" s="6" t="s">
        <v>637</v>
      </c>
      <c r="F62" s="6" t="s">
        <v>638</v>
      </c>
      <c r="G62" s="6" t="s">
        <v>550</v>
      </c>
      <c r="H62" s="6" t="s">
        <v>454</v>
      </c>
      <c r="I62" s="6">
        <v>1000</v>
      </c>
      <c r="J62" s="6" t="s">
        <v>647</v>
      </c>
      <c r="K62" s="7" t="s">
        <v>640</v>
      </c>
      <c r="L62" s="5"/>
    </row>
    <row r="63" spans="1:15" x14ac:dyDescent="0.2">
      <c r="A63" s="5" t="s">
        <v>635</v>
      </c>
      <c r="B63" s="6" t="s">
        <v>362</v>
      </c>
      <c r="C63" s="6" t="s">
        <v>646</v>
      </c>
      <c r="D63" s="6" t="s">
        <v>547</v>
      </c>
      <c r="E63" s="6" t="s">
        <v>637</v>
      </c>
      <c r="F63" s="6" t="s">
        <v>641</v>
      </c>
      <c r="G63" s="6" t="s">
        <v>550</v>
      </c>
      <c r="H63" s="6" t="s">
        <v>454</v>
      </c>
      <c r="I63" s="6">
        <v>800</v>
      </c>
      <c r="J63" s="6" t="s">
        <v>647</v>
      </c>
      <c r="K63" s="7" t="s">
        <v>640</v>
      </c>
      <c r="L63" s="5"/>
    </row>
    <row r="64" spans="1:15" x14ac:dyDescent="0.2">
      <c r="A64" s="5" t="s">
        <v>635</v>
      </c>
      <c r="B64" s="6" t="s">
        <v>362</v>
      </c>
      <c r="C64" s="6" t="s">
        <v>646</v>
      </c>
      <c r="D64" s="6" t="s">
        <v>547</v>
      </c>
      <c r="E64" s="6" t="s">
        <v>637</v>
      </c>
      <c r="F64" s="6" t="s">
        <v>643</v>
      </c>
      <c r="G64" s="6" t="s">
        <v>550</v>
      </c>
      <c r="H64" s="6" t="s">
        <v>454</v>
      </c>
      <c r="I64" s="6">
        <v>100</v>
      </c>
      <c r="J64" s="6" t="s">
        <v>647</v>
      </c>
      <c r="K64" s="7" t="s">
        <v>640</v>
      </c>
      <c r="L64" s="5"/>
    </row>
    <row r="65" spans="1:15" x14ac:dyDescent="0.2">
      <c r="A65" s="5" t="s">
        <v>635</v>
      </c>
      <c r="B65" s="6" t="s">
        <v>362</v>
      </c>
      <c r="C65" s="6" t="s">
        <v>648</v>
      </c>
      <c r="D65" s="6" t="s">
        <v>547</v>
      </c>
      <c r="E65" s="6" t="s">
        <v>649</v>
      </c>
      <c r="F65" s="6" t="s">
        <v>638</v>
      </c>
      <c r="G65" s="6" t="s">
        <v>550</v>
      </c>
      <c r="H65" s="6" t="s">
        <v>454</v>
      </c>
      <c r="I65" s="6">
        <v>12000</v>
      </c>
      <c r="J65" s="6" t="s">
        <v>650</v>
      </c>
      <c r="K65" s="7" t="s">
        <v>640</v>
      </c>
      <c r="L65" s="5"/>
    </row>
    <row r="66" spans="1:15" x14ac:dyDescent="0.2">
      <c r="A66" s="5" t="s">
        <v>635</v>
      </c>
      <c r="B66" s="6" t="s">
        <v>362</v>
      </c>
      <c r="C66" s="6" t="s">
        <v>648</v>
      </c>
      <c r="D66" s="6" t="s">
        <v>547</v>
      </c>
      <c r="E66" s="6" t="s">
        <v>649</v>
      </c>
      <c r="F66" s="6" t="s">
        <v>641</v>
      </c>
      <c r="G66" s="6" t="s">
        <v>550</v>
      </c>
      <c r="H66" s="6" t="s">
        <v>454</v>
      </c>
      <c r="I66" s="6">
        <v>8000</v>
      </c>
      <c r="J66" s="6" t="s">
        <v>650</v>
      </c>
      <c r="K66" s="7" t="s">
        <v>640</v>
      </c>
      <c r="L66" s="5"/>
    </row>
    <row r="67" spans="1:15" x14ac:dyDescent="0.2">
      <c r="A67" s="5" t="s">
        <v>635</v>
      </c>
      <c r="B67" s="6" t="s">
        <v>362</v>
      </c>
      <c r="C67" s="6" t="s">
        <v>648</v>
      </c>
      <c r="D67" s="6" t="s">
        <v>547</v>
      </c>
      <c r="E67" s="6" t="s">
        <v>649</v>
      </c>
      <c r="F67" s="6" t="s">
        <v>643</v>
      </c>
      <c r="G67" s="6" t="s">
        <v>550</v>
      </c>
      <c r="H67" s="6" t="s">
        <v>454</v>
      </c>
      <c r="I67" s="6">
        <v>700</v>
      </c>
      <c r="J67" s="6" t="s">
        <v>650</v>
      </c>
      <c r="K67" s="7" t="s">
        <v>640</v>
      </c>
      <c r="L67" s="5"/>
    </row>
    <row r="68" spans="1:15" x14ac:dyDescent="0.2">
      <c r="A68" s="5" t="s">
        <v>635</v>
      </c>
      <c r="B68" s="6" t="s">
        <v>362</v>
      </c>
      <c r="C68" s="6" t="s">
        <v>651</v>
      </c>
      <c r="D68" s="6" t="s">
        <v>547</v>
      </c>
      <c r="E68" s="6" t="s">
        <v>649</v>
      </c>
      <c r="F68" s="6" t="s">
        <v>638</v>
      </c>
      <c r="G68" s="6" t="s">
        <v>550</v>
      </c>
      <c r="H68" s="6" t="s">
        <v>454</v>
      </c>
      <c r="I68" s="6">
        <v>1000</v>
      </c>
      <c r="J68" s="6" t="s">
        <v>652</v>
      </c>
      <c r="K68" s="7" t="s">
        <v>640</v>
      </c>
      <c r="L68" s="5"/>
    </row>
    <row r="69" spans="1:15" x14ac:dyDescent="0.2">
      <c r="A69" s="5" t="s">
        <v>635</v>
      </c>
      <c r="B69" s="6" t="s">
        <v>362</v>
      </c>
      <c r="C69" s="6" t="s">
        <v>651</v>
      </c>
      <c r="D69" s="6" t="s">
        <v>547</v>
      </c>
      <c r="E69" s="6" t="s">
        <v>649</v>
      </c>
      <c r="F69" s="6" t="s">
        <v>641</v>
      </c>
      <c r="G69" s="6" t="s">
        <v>550</v>
      </c>
      <c r="H69" s="6" t="s">
        <v>454</v>
      </c>
      <c r="I69" s="6">
        <v>800</v>
      </c>
      <c r="J69" s="6" t="s">
        <v>652</v>
      </c>
      <c r="K69" s="7" t="s">
        <v>640</v>
      </c>
      <c r="L69" s="5"/>
    </row>
    <row r="70" spans="1:15" x14ac:dyDescent="0.2">
      <c r="A70" s="5" t="s">
        <v>635</v>
      </c>
      <c r="B70" s="6" t="s">
        <v>362</v>
      </c>
      <c r="C70" s="6" t="s">
        <v>651</v>
      </c>
      <c r="D70" s="6" t="s">
        <v>547</v>
      </c>
      <c r="E70" s="6" t="s">
        <v>649</v>
      </c>
      <c r="F70" s="6" t="s">
        <v>643</v>
      </c>
      <c r="G70" s="6" t="s">
        <v>550</v>
      </c>
      <c r="H70" s="6" t="s">
        <v>454</v>
      </c>
      <c r="I70" s="6">
        <v>100</v>
      </c>
      <c r="J70" s="6" t="s">
        <v>652</v>
      </c>
      <c r="K70" s="7" t="s">
        <v>640</v>
      </c>
      <c r="L70" s="5"/>
    </row>
    <row r="71" spans="1:15" x14ac:dyDescent="0.2">
      <c r="A71" s="5" t="s">
        <v>635</v>
      </c>
      <c r="B71" s="6" t="s">
        <v>362</v>
      </c>
      <c r="C71" s="6" t="s">
        <v>653</v>
      </c>
      <c r="D71" s="6" t="s">
        <v>547</v>
      </c>
      <c r="E71" s="6" t="s">
        <v>275</v>
      </c>
      <c r="F71" s="6" t="s">
        <v>638</v>
      </c>
      <c r="G71" s="6" t="s">
        <v>550</v>
      </c>
      <c r="H71" s="6" t="s">
        <v>454</v>
      </c>
      <c r="I71" s="6">
        <v>1000</v>
      </c>
      <c r="J71" s="6" t="s">
        <v>654</v>
      </c>
      <c r="K71" s="6" t="s">
        <v>655</v>
      </c>
      <c r="L71" s="5"/>
    </row>
    <row r="72" spans="1:15" x14ac:dyDescent="0.2">
      <c r="A72" s="5" t="s">
        <v>635</v>
      </c>
      <c r="B72" s="6" t="s">
        <v>362</v>
      </c>
      <c r="C72" s="6" t="s">
        <v>653</v>
      </c>
      <c r="D72" s="6" t="s">
        <v>547</v>
      </c>
      <c r="E72" s="6" t="s">
        <v>275</v>
      </c>
      <c r="F72" s="6" t="s">
        <v>641</v>
      </c>
      <c r="G72" s="6" t="s">
        <v>550</v>
      </c>
      <c r="H72" s="6" t="s">
        <v>454</v>
      </c>
      <c r="I72" s="6">
        <v>800</v>
      </c>
      <c r="J72" s="6" t="s">
        <v>654</v>
      </c>
      <c r="K72" s="6" t="s">
        <v>655</v>
      </c>
      <c r="L72" s="5"/>
    </row>
    <row r="73" spans="1:15" x14ac:dyDescent="0.2">
      <c r="A73" s="5" t="s">
        <v>635</v>
      </c>
      <c r="B73" s="6" t="s">
        <v>362</v>
      </c>
      <c r="C73" s="6" t="s">
        <v>653</v>
      </c>
      <c r="D73" s="6" t="s">
        <v>547</v>
      </c>
      <c r="E73" s="6" t="s">
        <v>275</v>
      </c>
      <c r="F73" s="6" t="s">
        <v>643</v>
      </c>
      <c r="G73" s="6" t="s">
        <v>550</v>
      </c>
      <c r="H73" s="6" t="s">
        <v>454</v>
      </c>
      <c r="I73" s="6">
        <v>100</v>
      </c>
      <c r="J73" s="6" t="s">
        <v>654</v>
      </c>
      <c r="K73" s="6" t="s">
        <v>655</v>
      </c>
      <c r="L73" s="5"/>
    </row>
    <row r="74" spans="1:15" x14ac:dyDescent="0.2">
      <c r="A74" s="510" t="s">
        <v>635</v>
      </c>
      <c r="B74" s="509" t="s">
        <v>362</v>
      </c>
      <c r="C74" s="6" t="s">
        <v>569</v>
      </c>
      <c r="D74" s="6" t="s">
        <v>570</v>
      </c>
      <c r="E74" s="6" t="s">
        <v>461</v>
      </c>
      <c r="F74" s="6" t="s">
        <v>550</v>
      </c>
      <c r="G74" s="6" t="s">
        <v>571</v>
      </c>
      <c r="H74" s="6" t="s">
        <v>470</v>
      </c>
      <c r="I74" s="6">
        <v>0.01</v>
      </c>
      <c r="J74" s="6" t="s">
        <v>572</v>
      </c>
      <c r="K74" s="7" t="s">
        <v>456</v>
      </c>
      <c r="L74" s="5" t="s">
        <v>552</v>
      </c>
    </row>
    <row r="75" spans="1:15" x14ac:dyDescent="0.2">
      <c r="A75" s="5" t="s">
        <v>635</v>
      </c>
      <c r="B75" s="6" t="s">
        <v>362</v>
      </c>
      <c r="C75" s="6" t="s">
        <v>656</v>
      </c>
      <c r="D75" s="6" t="s">
        <v>586</v>
      </c>
      <c r="E75" s="6" t="s">
        <v>455</v>
      </c>
      <c r="F75" s="6" t="s">
        <v>550</v>
      </c>
      <c r="G75" s="6" t="s">
        <v>550</v>
      </c>
      <c r="H75" s="6" t="s">
        <v>471</v>
      </c>
      <c r="I75" s="6">
        <v>0.05</v>
      </c>
      <c r="J75" s="6" t="s">
        <v>657</v>
      </c>
      <c r="K75" s="6" t="s">
        <v>658</v>
      </c>
      <c r="L75" s="5"/>
    </row>
    <row r="76" spans="1:15" x14ac:dyDescent="0.2">
      <c r="A76" s="5" t="s">
        <v>635</v>
      </c>
      <c r="B76" s="6" t="s">
        <v>362</v>
      </c>
      <c r="C76" s="512" t="s">
        <v>585</v>
      </c>
      <c r="D76" s="512" t="s">
        <v>586</v>
      </c>
      <c r="E76" s="512"/>
      <c r="F76" s="512" t="s">
        <v>550</v>
      </c>
      <c r="G76" s="512" t="s">
        <v>550</v>
      </c>
      <c r="H76" s="512"/>
      <c r="I76" s="512"/>
      <c r="J76" s="512"/>
      <c r="K76" s="512"/>
      <c r="L76" s="513"/>
      <c r="M76" s="511"/>
      <c r="N76" s="511"/>
      <c r="O76" s="511"/>
    </row>
    <row r="77" spans="1:15" x14ac:dyDescent="0.2">
      <c r="A77" s="510" t="s">
        <v>635</v>
      </c>
      <c r="B77" s="509" t="s">
        <v>362</v>
      </c>
      <c r="C77" s="512" t="s">
        <v>585</v>
      </c>
      <c r="D77" s="509" t="s">
        <v>564</v>
      </c>
      <c r="E77" s="509" t="s">
        <v>467</v>
      </c>
      <c r="F77" s="509" t="s">
        <v>550</v>
      </c>
      <c r="G77" s="509" t="s">
        <v>565</v>
      </c>
      <c r="H77" s="509" t="s">
        <v>470</v>
      </c>
      <c r="I77" s="509"/>
      <c r="J77" s="509" t="s">
        <v>612</v>
      </c>
      <c r="K77" s="509" t="s">
        <v>456</v>
      </c>
      <c r="L77" s="510" t="s">
        <v>593</v>
      </c>
      <c r="M77" s="511"/>
      <c r="N77" s="511"/>
      <c r="O77" s="511"/>
    </row>
    <row r="78" spans="1:15" x14ac:dyDescent="0.2">
      <c r="A78" s="510" t="s">
        <v>635</v>
      </c>
      <c r="B78" s="509" t="s">
        <v>362</v>
      </c>
      <c r="C78" s="512" t="s">
        <v>587</v>
      </c>
      <c r="D78" s="509" t="s">
        <v>564</v>
      </c>
      <c r="E78" s="509" t="s">
        <v>467</v>
      </c>
      <c r="F78" s="509" t="s">
        <v>550</v>
      </c>
      <c r="G78" s="509" t="s">
        <v>565</v>
      </c>
      <c r="H78" s="509" t="s">
        <v>470</v>
      </c>
      <c r="I78" s="509"/>
      <c r="J78" s="509" t="s">
        <v>612</v>
      </c>
      <c r="K78" s="509" t="s">
        <v>456</v>
      </c>
      <c r="L78" s="510" t="s">
        <v>593</v>
      </c>
      <c r="M78" s="511"/>
      <c r="N78" s="511"/>
      <c r="O78" s="511"/>
    </row>
    <row r="79" spans="1:15" x14ac:dyDescent="0.2">
      <c r="A79" s="513" t="s">
        <v>659</v>
      </c>
      <c r="B79" s="512" t="s">
        <v>660</v>
      </c>
      <c r="C79" s="512" t="s">
        <v>585</v>
      </c>
      <c r="D79" s="512" t="s">
        <v>547</v>
      </c>
      <c r="E79" s="512"/>
      <c r="F79" s="512" t="s">
        <v>550</v>
      </c>
      <c r="G79" s="512" t="s">
        <v>550</v>
      </c>
      <c r="H79" s="512"/>
      <c r="I79" s="512"/>
      <c r="J79" s="512"/>
      <c r="K79" s="512"/>
      <c r="L79" s="513"/>
    </row>
    <row r="80" spans="1:15" x14ac:dyDescent="0.2">
      <c r="A80" s="513" t="s">
        <v>659</v>
      </c>
      <c r="B80" s="512" t="s">
        <v>660</v>
      </c>
      <c r="C80" s="512" t="s">
        <v>587</v>
      </c>
      <c r="D80" s="6" t="s">
        <v>547</v>
      </c>
      <c r="E80" s="512"/>
      <c r="F80" s="6" t="s">
        <v>550</v>
      </c>
      <c r="G80" s="6" t="s">
        <v>550</v>
      </c>
      <c r="H80" s="512"/>
      <c r="I80" s="512"/>
      <c r="J80" s="512"/>
      <c r="K80" s="512"/>
      <c r="L80" s="513"/>
    </row>
    <row r="81" spans="1:17" x14ac:dyDescent="0.2">
      <c r="A81" s="513" t="s">
        <v>659</v>
      </c>
      <c r="B81" s="512" t="s">
        <v>660</v>
      </c>
      <c r="C81" s="512" t="s">
        <v>661</v>
      </c>
      <c r="D81" s="6" t="s">
        <v>547</v>
      </c>
      <c r="E81" s="512"/>
      <c r="F81" s="6" t="s">
        <v>550</v>
      </c>
      <c r="G81" s="6" t="s">
        <v>550</v>
      </c>
      <c r="H81" s="512"/>
      <c r="I81" s="512"/>
      <c r="J81" s="512"/>
      <c r="K81" s="512"/>
      <c r="L81" s="513"/>
    </row>
    <row r="82" spans="1:17" x14ac:dyDescent="0.2">
      <c r="A82" s="513" t="s">
        <v>659</v>
      </c>
      <c r="B82" s="512" t="s">
        <v>660</v>
      </c>
      <c r="C82" s="512" t="s">
        <v>662</v>
      </c>
      <c r="D82" s="6" t="s">
        <v>547</v>
      </c>
      <c r="E82" s="512"/>
      <c r="F82" s="6" t="s">
        <v>550</v>
      </c>
      <c r="G82" s="6" t="s">
        <v>550</v>
      </c>
      <c r="H82" s="512"/>
      <c r="I82" s="512"/>
      <c r="J82" s="512"/>
      <c r="K82" s="512"/>
      <c r="L82" s="513"/>
    </row>
    <row r="83" spans="1:17" x14ac:dyDescent="0.2">
      <c r="A83" s="513" t="s">
        <v>659</v>
      </c>
      <c r="B83" s="512" t="s">
        <v>660</v>
      </c>
      <c r="C83" s="512" t="s">
        <v>663</v>
      </c>
      <c r="D83" s="6" t="s">
        <v>547</v>
      </c>
      <c r="E83" s="512"/>
      <c r="F83" s="6" t="s">
        <v>550</v>
      </c>
      <c r="G83" s="6" t="s">
        <v>550</v>
      </c>
      <c r="H83" s="512"/>
      <c r="I83" s="512"/>
      <c r="J83" s="512"/>
      <c r="K83" s="512"/>
      <c r="L83" s="513"/>
    </row>
    <row r="84" spans="1:17" x14ac:dyDescent="0.2">
      <c r="A84" s="513" t="s">
        <v>659</v>
      </c>
      <c r="B84" s="512" t="s">
        <v>660</v>
      </c>
      <c r="C84" s="512" t="s">
        <v>664</v>
      </c>
      <c r="D84" s="512" t="s">
        <v>547</v>
      </c>
      <c r="E84" s="512"/>
      <c r="F84" s="512" t="s">
        <v>550</v>
      </c>
      <c r="G84" s="512" t="s">
        <v>550</v>
      </c>
      <c r="H84" s="512"/>
      <c r="I84" s="512"/>
      <c r="J84" s="512"/>
      <c r="K84" s="512"/>
      <c r="L84" s="513"/>
    </row>
    <row r="85" spans="1:17" x14ac:dyDescent="0.2">
      <c r="A85" s="513" t="s">
        <v>659</v>
      </c>
      <c r="B85" s="512" t="s">
        <v>660</v>
      </c>
      <c r="C85" s="512" t="s">
        <v>665</v>
      </c>
      <c r="D85" s="6" t="s">
        <v>547</v>
      </c>
      <c r="E85" s="512"/>
      <c r="F85" s="6" t="s">
        <v>550</v>
      </c>
      <c r="G85" s="6" t="s">
        <v>550</v>
      </c>
      <c r="H85" s="512"/>
      <c r="I85" s="512"/>
      <c r="J85" s="512"/>
      <c r="K85" s="512"/>
      <c r="L85" s="513"/>
    </row>
    <row r="86" spans="1:17" s="8" customFormat="1" x14ac:dyDescent="0.2">
      <c r="A86" s="513" t="s">
        <v>659</v>
      </c>
      <c r="B86" s="512" t="s">
        <v>660</v>
      </c>
      <c r="C86" s="512" t="s">
        <v>666</v>
      </c>
      <c r="D86" s="6" t="s">
        <v>547</v>
      </c>
      <c r="E86" s="512"/>
      <c r="F86" s="6" t="s">
        <v>550</v>
      </c>
      <c r="G86" s="6" t="s">
        <v>550</v>
      </c>
      <c r="H86" s="512"/>
      <c r="I86" s="512"/>
      <c r="J86" s="512"/>
      <c r="K86" s="512"/>
      <c r="L86" s="513"/>
      <c r="M86" s="511"/>
      <c r="N86" s="511"/>
      <c r="O86" s="511"/>
      <c r="P86"/>
      <c r="Q86"/>
    </row>
    <row r="87" spans="1:17" s="8" customFormat="1" x14ac:dyDescent="0.2">
      <c r="A87" s="513" t="s">
        <v>659</v>
      </c>
      <c r="B87" s="512" t="s">
        <v>660</v>
      </c>
      <c r="C87" s="512" t="s">
        <v>667</v>
      </c>
      <c r="D87" s="6" t="s">
        <v>547</v>
      </c>
      <c r="E87" s="512"/>
      <c r="F87" s="6" t="s">
        <v>550</v>
      </c>
      <c r="G87" s="6" t="s">
        <v>550</v>
      </c>
      <c r="H87" s="512"/>
      <c r="I87" s="512"/>
      <c r="J87" s="512"/>
      <c r="K87" s="512"/>
      <c r="L87" s="513"/>
      <c r="M87" s="511"/>
      <c r="N87" s="511"/>
      <c r="O87" s="511"/>
      <c r="P87"/>
      <c r="Q87"/>
    </row>
    <row r="88" spans="1:17" s="8" customFormat="1" x14ac:dyDescent="0.2">
      <c r="A88" s="513" t="s">
        <v>659</v>
      </c>
      <c r="B88" s="512" t="s">
        <v>660</v>
      </c>
      <c r="C88" s="512" t="s">
        <v>585</v>
      </c>
      <c r="D88" s="512" t="s">
        <v>586</v>
      </c>
      <c r="E88" s="512"/>
      <c r="F88" s="512" t="s">
        <v>550</v>
      </c>
      <c r="G88" s="512" t="s">
        <v>550</v>
      </c>
      <c r="H88" s="512"/>
      <c r="I88" s="512"/>
      <c r="J88" s="512"/>
      <c r="K88" s="512"/>
      <c r="L88" s="513"/>
      <c r="M88" s="511"/>
      <c r="N88" s="511"/>
      <c r="O88" s="511"/>
      <c r="P88"/>
      <c r="Q88"/>
    </row>
    <row r="89" spans="1:17" s="8" customFormat="1" x14ac:dyDescent="0.2">
      <c r="A89" s="513" t="s">
        <v>659</v>
      </c>
      <c r="B89" s="512" t="s">
        <v>660</v>
      </c>
      <c r="C89" s="512" t="s">
        <v>587</v>
      </c>
      <c r="D89" s="512" t="s">
        <v>586</v>
      </c>
      <c r="E89" s="512"/>
      <c r="F89" s="512" t="s">
        <v>550</v>
      </c>
      <c r="G89" s="512" t="s">
        <v>550</v>
      </c>
      <c r="H89" s="512"/>
      <c r="I89" s="512"/>
      <c r="J89" s="512"/>
      <c r="K89" s="512"/>
      <c r="L89" s="513"/>
      <c r="M89" s="511"/>
      <c r="N89" s="511"/>
      <c r="O89" s="511"/>
      <c r="P89"/>
      <c r="Q89"/>
    </row>
    <row r="90" spans="1:17" s="8" customFormat="1" x14ac:dyDescent="0.2">
      <c r="A90" s="513" t="s">
        <v>659</v>
      </c>
      <c r="B90" s="512" t="s">
        <v>660</v>
      </c>
      <c r="C90" s="512" t="s">
        <v>661</v>
      </c>
      <c r="D90" s="512" t="s">
        <v>586</v>
      </c>
      <c r="E90" s="512"/>
      <c r="F90" s="512" t="s">
        <v>550</v>
      </c>
      <c r="G90" s="512" t="s">
        <v>550</v>
      </c>
      <c r="H90" s="512"/>
      <c r="I90" s="512"/>
      <c r="J90" s="512"/>
      <c r="K90" s="512"/>
      <c r="L90" s="513"/>
      <c r="M90" s="511"/>
      <c r="N90" s="511"/>
      <c r="O90" s="511"/>
      <c r="P90"/>
      <c r="Q90"/>
    </row>
    <row r="91" spans="1:17" s="8" customFormat="1" x14ac:dyDescent="0.2">
      <c r="A91" s="513" t="s">
        <v>659</v>
      </c>
      <c r="B91" s="512" t="s">
        <v>660</v>
      </c>
      <c r="C91" s="512" t="s">
        <v>662</v>
      </c>
      <c r="D91" s="512" t="s">
        <v>586</v>
      </c>
      <c r="E91" s="512"/>
      <c r="F91" s="512" t="s">
        <v>550</v>
      </c>
      <c r="G91" s="512" t="s">
        <v>550</v>
      </c>
      <c r="H91" s="512"/>
      <c r="I91" s="512"/>
      <c r="J91" s="512"/>
      <c r="K91" s="512"/>
      <c r="L91" s="513"/>
      <c r="M91" s="511"/>
      <c r="N91" s="511"/>
      <c r="O91" s="511"/>
      <c r="P91"/>
      <c r="Q91"/>
    </row>
    <row r="92" spans="1:17" s="9" customFormat="1" x14ac:dyDescent="0.2">
      <c r="A92" s="513" t="s">
        <v>659</v>
      </c>
      <c r="B92" s="512" t="s">
        <v>660</v>
      </c>
      <c r="C92" s="512" t="s">
        <v>663</v>
      </c>
      <c r="D92" s="512" t="s">
        <v>586</v>
      </c>
      <c r="E92" s="512"/>
      <c r="F92" s="512" t="s">
        <v>550</v>
      </c>
      <c r="G92" s="512" t="s">
        <v>550</v>
      </c>
      <c r="H92" s="512"/>
      <c r="I92" s="512"/>
      <c r="J92" s="512"/>
      <c r="K92" s="512"/>
      <c r="L92" s="513"/>
      <c r="M92" s="511"/>
      <c r="N92" s="511"/>
      <c r="O92" s="511"/>
      <c r="P92"/>
      <c r="Q92"/>
    </row>
    <row r="93" spans="1:17" s="9" customFormat="1" x14ac:dyDescent="0.2">
      <c r="A93" s="513" t="s">
        <v>659</v>
      </c>
      <c r="B93" s="512" t="s">
        <v>660</v>
      </c>
      <c r="C93" s="512" t="s">
        <v>585</v>
      </c>
      <c r="D93" s="512" t="s">
        <v>564</v>
      </c>
      <c r="E93" s="512"/>
      <c r="F93" s="512" t="s">
        <v>550</v>
      </c>
      <c r="G93" s="512" t="s">
        <v>550</v>
      </c>
      <c r="H93" s="512"/>
      <c r="I93" s="512"/>
      <c r="J93" s="512"/>
      <c r="K93" s="512"/>
      <c r="L93" s="513"/>
      <c r="M93" s="511"/>
      <c r="N93" s="511"/>
      <c r="O93" s="511"/>
      <c r="P93"/>
      <c r="Q93"/>
    </row>
    <row r="94" spans="1:17" s="9" customFormat="1" x14ac:dyDescent="0.2">
      <c r="A94" s="513" t="s">
        <v>659</v>
      </c>
      <c r="B94" s="512" t="s">
        <v>660</v>
      </c>
      <c r="C94" s="512" t="s">
        <v>587</v>
      </c>
      <c r="D94" s="512" t="s">
        <v>564</v>
      </c>
      <c r="E94" s="512"/>
      <c r="F94" s="512" t="s">
        <v>550</v>
      </c>
      <c r="G94" s="512" t="s">
        <v>550</v>
      </c>
      <c r="H94" s="512"/>
      <c r="I94" s="512"/>
      <c r="J94" s="512"/>
      <c r="K94" s="512"/>
      <c r="L94" s="513"/>
      <c r="M94" s="511"/>
      <c r="N94" s="511"/>
      <c r="O94" s="511"/>
      <c r="P94"/>
      <c r="Q94"/>
    </row>
    <row r="95" spans="1:17" s="9" customFormat="1" x14ac:dyDescent="0.2">
      <c r="A95" s="513" t="s">
        <v>659</v>
      </c>
      <c r="B95" s="512" t="s">
        <v>660</v>
      </c>
      <c r="C95" s="512" t="s">
        <v>661</v>
      </c>
      <c r="D95" s="512" t="s">
        <v>564</v>
      </c>
      <c r="E95" s="512"/>
      <c r="F95" s="512" t="s">
        <v>550</v>
      </c>
      <c r="G95" s="512" t="s">
        <v>550</v>
      </c>
      <c r="H95" s="512"/>
      <c r="I95" s="512"/>
      <c r="J95" s="512"/>
      <c r="K95" s="512"/>
      <c r="L95" s="513"/>
      <c r="M95" s="511"/>
      <c r="N95" s="511"/>
      <c r="O95" s="511"/>
      <c r="P95"/>
      <c r="Q95"/>
    </row>
    <row r="96" spans="1:17" s="9" customFormat="1" x14ac:dyDescent="0.2">
      <c r="A96" s="513" t="s">
        <v>659</v>
      </c>
      <c r="B96" s="512" t="s">
        <v>660</v>
      </c>
      <c r="C96" s="512" t="s">
        <v>662</v>
      </c>
      <c r="D96" s="512" t="s">
        <v>564</v>
      </c>
      <c r="E96" s="512"/>
      <c r="F96" s="512" t="s">
        <v>550</v>
      </c>
      <c r="G96" s="512" t="s">
        <v>550</v>
      </c>
      <c r="H96" s="512"/>
      <c r="I96" s="512"/>
      <c r="J96" s="512"/>
      <c r="K96" s="512"/>
      <c r="L96" s="513"/>
      <c r="M96" s="511"/>
      <c r="N96" s="511"/>
      <c r="O96" s="511"/>
      <c r="P96"/>
      <c r="Q96"/>
    </row>
    <row r="97" spans="1:17" s="9" customFormat="1" x14ac:dyDescent="0.2">
      <c r="A97" s="513" t="s">
        <v>659</v>
      </c>
      <c r="B97" s="512" t="s">
        <v>660</v>
      </c>
      <c r="C97" s="512" t="s">
        <v>663</v>
      </c>
      <c r="D97" s="512" t="s">
        <v>564</v>
      </c>
      <c r="E97" s="512"/>
      <c r="F97" s="512" t="s">
        <v>550</v>
      </c>
      <c r="G97" s="512" t="s">
        <v>550</v>
      </c>
      <c r="H97" s="512"/>
      <c r="I97" s="512"/>
      <c r="J97" s="512"/>
      <c r="K97" s="512"/>
      <c r="L97" s="513"/>
      <c r="M97" s="511"/>
      <c r="N97" s="511"/>
      <c r="O97" s="511"/>
      <c r="P97"/>
      <c r="Q97"/>
    </row>
    <row r="98" spans="1:17" s="9" customFormat="1" x14ac:dyDescent="0.2">
      <c r="A98" s="513" t="s">
        <v>659</v>
      </c>
      <c r="B98" s="512" t="s">
        <v>660</v>
      </c>
      <c r="C98" s="512" t="s">
        <v>664</v>
      </c>
      <c r="D98" s="512" t="s">
        <v>564</v>
      </c>
      <c r="E98" s="512"/>
      <c r="F98" s="512" t="s">
        <v>550</v>
      </c>
      <c r="G98" s="512" t="s">
        <v>550</v>
      </c>
      <c r="H98" s="512"/>
      <c r="I98" s="512"/>
      <c r="J98" s="512"/>
      <c r="K98" s="512"/>
      <c r="L98" s="513"/>
      <c r="M98" s="511"/>
      <c r="N98" s="511"/>
      <c r="O98" s="511"/>
      <c r="P98"/>
      <c r="Q98"/>
    </row>
    <row r="99" spans="1:17" s="9" customFormat="1" x14ac:dyDescent="0.2">
      <c r="A99" s="513" t="s">
        <v>659</v>
      </c>
      <c r="B99" s="512" t="s">
        <v>660</v>
      </c>
      <c r="C99" s="512" t="s">
        <v>585</v>
      </c>
      <c r="D99" s="512" t="s">
        <v>570</v>
      </c>
      <c r="E99" s="512"/>
      <c r="F99" s="512" t="s">
        <v>550</v>
      </c>
      <c r="G99" s="512" t="s">
        <v>550</v>
      </c>
      <c r="H99" s="512"/>
      <c r="I99" s="512"/>
      <c r="J99" s="512"/>
      <c r="K99" s="512"/>
      <c r="L99" s="513"/>
      <c r="M99" s="511"/>
      <c r="N99" s="511"/>
      <c r="O99" s="511"/>
      <c r="P99"/>
      <c r="Q99"/>
    </row>
    <row r="100" spans="1:17" s="9" customFormat="1" x14ac:dyDescent="0.2">
      <c r="A100" s="513" t="s">
        <v>659</v>
      </c>
      <c r="B100" s="512" t="s">
        <v>660</v>
      </c>
      <c r="C100" s="512" t="s">
        <v>587</v>
      </c>
      <c r="D100" s="512" t="s">
        <v>570</v>
      </c>
      <c r="E100" s="512"/>
      <c r="F100" s="512" t="s">
        <v>550</v>
      </c>
      <c r="G100" s="512" t="s">
        <v>550</v>
      </c>
      <c r="H100" s="512"/>
      <c r="I100" s="512"/>
      <c r="J100" s="512"/>
      <c r="K100" s="512"/>
      <c r="L100" s="513"/>
      <c r="M100" s="511"/>
      <c r="N100" s="511"/>
      <c r="O100" s="511"/>
      <c r="P100"/>
      <c r="Q100"/>
    </row>
    <row r="101" spans="1:17" s="9" customFormat="1" x14ac:dyDescent="0.2">
      <c r="A101" s="513" t="s">
        <v>659</v>
      </c>
      <c r="B101" s="512" t="s">
        <v>660</v>
      </c>
      <c r="C101" s="512" t="s">
        <v>661</v>
      </c>
      <c r="D101" s="512" t="s">
        <v>570</v>
      </c>
      <c r="E101" s="512"/>
      <c r="F101" s="512" t="s">
        <v>550</v>
      </c>
      <c r="G101" s="512" t="s">
        <v>550</v>
      </c>
      <c r="H101" s="512"/>
      <c r="I101" s="512"/>
      <c r="J101" s="512"/>
      <c r="K101" s="512"/>
      <c r="L101" s="513"/>
      <c r="M101" s="511"/>
      <c r="N101" s="511"/>
      <c r="O101" s="511"/>
      <c r="P101"/>
      <c r="Q101"/>
    </row>
    <row r="102" spans="1:17" s="9" customFormat="1" x14ac:dyDescent="0.2">
      <c r="A102" s="513" t="s">
        <v>659</v>
      </c>
      <c r="B102" s="512" t="s">
        <v>660</v>
      </c>
      <c r="C102" s="512" t="s">
        <v>662</v>
      </c>
      <c r="D102" s="512" t="s">
        <v>570</v>
      </c>
      <c r="E102" s="512"/>
      <c r="F102" s="512" t="s">
        <v>550</v>
      </c>
      <c r="G102" s="512" t="s">
        <v>550</v>
      </c>
      <c r="H102" s="512"/>
      <c r="I102" s="512"/>
      <c r="J102" s="512"/>
      <c r="K102" s="512"/>
      <c r="L102" s="513"/>
      <c r="M102" s="511"/>
      <c r="N102" s="511"/>
      <c r="O102" s="511"/>
      <c r="P102"/>
      <c r="Q102"/>
    </row>
    <row r="103" spans="1:17" s="9" customFormat="1" x14ac:dyDescent="0.2">
      <c r="A103" s="513" t="s">
        <v>659</v>
      </c>
      <c r="B103" s="512" t="s">
        <v>660</v>
      </c>
      <c r="C103" s="512" t="s">
        <v>663</v>
      </c>
      <c r="D103" s="512" t="s">
        <v>570</v>
      </c>
      <c r="E103" s="512"/>
      <c r="F103" s="512" t="s">
        <v>550</v>
      </c>
      <c r="G103" s="512" t="s">
        <v>550</v>
      </c>
      <c r="H103" s="512"/>
      <c r="I103" s="512"/>
      <c r="J103" s="512"/>
      <c r="K103" s="512"/>
      <c r="L103" s="513"/>
      <c r="M103" s="511"/>
      <c r="N103" s="511"/>
      <c r="O103" s="511"/>
      <c r="P103"/>
      <c r="Q103"/>
    </row>
    <row r="104" spans="1:17" s="9" customFormat="1" x14ac:dyDescent="0.2">
      <c r="A104" s="513" t="s">
        <v>659</v>
      </c>
      <c r="B104" s="512" t="s">
        <v>660</v>
      </c>
      <c r="C104" s="512" t="s">
        <v>664</v>
      </c>
      <c r="D104" s="512" t="s">
        <v>570</v>
      </c>
      <c r="E104" s="512"/>
      <c r="F104" s="512" t="s">
        <v>550</v>
      </c>
      <c r="G104" s="512" t="s">
        <v>550</v>
      </c>
      <c r="H104" s="512"/>
      <c r="I104" s="512"/>
      <c r="J104" s="512"/>
      <c r="K104" s="512"/>
      <c r="L104" s="513"/>
      <c r="M104" s="511"/>
      <c r="N104" s="511"/>
      <c r="O104" s="511"/>
      <c r="P104"/>
      <c r="Q104"/>
    </row>
    <row r="105" spans="1:17" s="9" customFormat="1" x14ac:dyDescent="0.2">
      <c r="A105" s="513" t="s">
        <v>659</v>
      </c>
      <c r="B105" s="512" t="s">
        <v>660</v>
      </c>
      <c r="C105" s="512" t="s">
        <v>585</v>
      </c>
      <c r="D105" s="512" t="s">
        <v>580</v>
      </c>
      <c r="E105" s="512"/>
      <c r="F105" s="512" t="s">
        <v>550</v>
      </c>
      <c r="G105" s="512" t="s">
        <v>550</v>
      </c>
      <c r="H105" s="512"/>
      <c r="I105" s="512"/>
      <c r="J105" s="512"/>
      <c r="K105" s="512"/>
      <c r="L105" s="513"/>
      <c r="M105" s="511"/>
      <c r="N105" s="511"/>
      <c r="O105" s="511"/>
      <c r="P105"/>
      <c r="Q105"/>
    </row>
    <row r="106" spans="1:17" x14ac:dyDescent="0.2">
      <c r="A106" s="513" t="s">
        <v>659</v>
      </c>
      <c r="B106" s="512" t="s">
        <v>660</v>
      </c>
      <c r="C106" s="512" t="s">
        <v>587</v>
      </c>
      <c r="D106" s="512" t="s">
        <v>580</v>
      </c>
      <c r="E106" s="512"/>
      <c r="F106" s="512" t="s">
        <v>550</v>
      </c>
      <c r="G106" s="512" t="s">
        <v>550</v>
      </c>
      <c r="H106" s="512"/>
      <c r="I106" s="512"/>
      <c r="J106" s="512"/>
      <c r="K106" s="512"/>
      <c r="L106" s="513"/>
    </row>
    <row r="107" spans="1:17" x14ac:dyDescent="0.2">
      <c r="A107" s="513" t="s">
        <v>659</v>
      </c>
      <c r="B107" s="512" t="s">
        <v>660</v>
      </c>
      <c r="C107" s="512" t="s">
        <v>661</v>
      </c>
      <c r="D107" s="512" t="s">
        <v>580</v>
      </c>
      <c r="E107" s="512"/>
      <c r="F107" s="512" t="s">
        <v>550</v>
      </c>
      <c r="G107" s="512" t="s">
        <v>550</v>
      </c>
      <c r="H107" s="512"/>
      <c r="I107" s="512"/>
      <c r="J107" s="512"/>
      <c r="K107" s="512"/>
      <c r="L107" s="513"/>
    </row>
    <row r="108" spans="1:17" x14ac:dyDescent="0.2">
      <c r="A108" s="513" t="s">
        <v>659</v>
      </c>
      <c r="B108" s="512" t="s">
        <v>660</v>
      </c>
      <c r="C108" s="512" t="s">
        <v>662</v>
      </c>
      <c r="D108" s="512" t="s">
        <v>580</v>
      </c>
      <c r="E108" s="512"/>
      <c r="F108" s="512" t="s">
        <v>550</v>
      </c>
      <c r="G108" s="512" t="s">
        <v>550</v>
      </c>
      <c r="H108" s="512"/>
      <c r="I108" s="512"/>
      <c r="J108" s="512"/>
      <c r="K108" s="512"/>
      <c r="L108" s="513"/>
    </row>
  </sheetData>
  <phoneticPr fontId="29" type="noConversion"/>
  <pageMargins left="0.7" right="0.7" top="0.75" bottom="0.75" header="0.3" footer="0.3"/>
  <pageSetup paperSize="9" orientation="portrait" horizontalDpi="0" verticalDpi="0"/>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6AD58-824D-984A-90F1-731EB66E928B}">
  <sheetPr codeName="Sheet11">
    <tabColor theme="7" tint="0.59999389629810485"/>
  </sheetPr>
  <dimension ref="A1:R13"/>
  <sheetViews>
    <sheetView workbookViewId="0">
      <selection activeCell="N15" sqref="N15"/>
    </sheetView>
  </sheetViews>
  <sheetFormatPr baseColWidth="10" defaultColWidth="11.140625" defaultRowHeight="16" x14ac:dyDescent="0.2"/>
  <cols>
    <col min="1" max="1" width="11.140625" style="192"/>
    <col min="2" max="3" width="16.7109375" style="192" customWidth="1"/>
    <col min="4" max="4" width="17.28515625" style="192" customWidth="1"/>
    <col min="5" max="5" width="16.7109375" style="192" customWidth="1"/>
    <col min="6" max="6" width="18.28515625" style="192" customWidth="1"/>
    <col min="7" max="7" width="14.7109375" style="192" customWidth="1"/>
    <col min="8" max="8" width="25.140625" style="192" customWidth="1"/>
    <col min="9" max="15" width="21.28515625" style="192" customWidth="1"/>
    <col min="16" max="16" width="34.85546875" style="192" customWidth="1"/>
    <col min="17" max="17" width="14.28515625" style="192" bestFit="1" customWidth="1"/>
    <col min="18" max="18" width="12.28515625" style="192" bestFit="1" customWidth="1"/>
    <col min="19" max="16384" width="11.140625" style="192"/>
  </cols>
  <sheetData>
    <row r="1" spans="1:18" x14ac:dyDescent="0.2">
      <c r="A1" s="342" t="s">
        <v>534</v>
      </c>
      <c r="B1" s="342" t="s">
        <v>668</v>
      </c>
      <c r="C1" s="342" t="s">
        <v>669</v>
      </c>
      <c r="D1" s="342" t="s">
        <v>670</v>
      </c>
      <c r="E1" s="342" t="s">
        <v>671</v>
      </c>
      <c r="F1" s="342" t="s">
        <v>672</v>
      </c>
      <c r="G1" s="342" t="s">
        <v>673</v>
      </c>
      <c r="H1" s="342" t="s">
        <v>674</v>
      </c>
      <c r="I1" s="342" t="s">
        <v>675</v>
      </c>
      <c r="J1" s="342" t="s">
        <v>676</v>
      </c>
      <c r="K1" s="342" t="s">
        <v>442</v>
      </c>
      <c r="L1" s="342" t="s">
        <v>449</v>
      </c>
      <c r="M1" s="342" t="s">
        <v>445</v>
      </c>
      <c r="N1" s="342" t="s">
        <v>441</v>
      </c>
      <c r="O1" s="342" t="s">
        <v>677</v>
      </c>
      <c r="P1" s="343" t="s">
        <v>678</v>
      </c>
      <c r="Q1" s="342" t="s">
        <v>679</v>
      </c>
    </row>
    <row r="2" spans="1:18" x14ac:dyDescent="0.2">
      <c r="A2" s="192" t="str" cm="1">
        <f t="array" ref="A2:A6">_xlfn._xlws.SORT(_xlfn.UNIQUE(tblPreset[Country]))</f>
        <v>Ghana</v>
      </c>
      <c r="B2" s="192" t="str" cm="1">
        <f t="array" ref="B2:B3">IFERROR(_xlfn._xlws.SORT(
    _xlfn.UNIQUE(
        _xlfn._xlws.FILTER(
            tblPreset[Sector],
            (tblPreset[Country] = selCountry) * (tblPreset[Sector] &lt;&gt; "ANY")
        )
    )
),"")</f>
        <v>Forestry</v>
      </c>
      <c r="C2" s="192" t="s">
        <v>680</v>
      </c>
      <c r="D2" s="192" t="str">
        <f>IF(selCountry="Test country", "complete_list", "non_forestry_list")</f>
        <v>non_forestry_list</v>
      </c>
      <c r="E2" s="192" t="str">
        <f>IF(AND('4.Inputs'!D8="Forestry",selCountry&lt;&gt;"Test country"), "Forestry", B2)</f>
        <v>Forestry</v>
      </c>
      <c r="F2" s="192" t="str" cm="1">
        <f t="array" ref="F2:F3">IFERROR(_xlfn._xlws.SORT(
    _xlfn.UNIQUE(
        _xlfn._xlws.FILTER(
            tblPreset[Pathway],
            (tblPreset[Sector] = selProjectType) *
            (tblPreset[Country] = selCountry)
        )
    )
),"")</f>
        <v>ANY</v>
      </c>
      <c r="G2" s="192" t="str" cm="1">
        <f t="array" ref="G2:G3">IFERROR(_xlfn._xlws.SORT(
    _xlfn.UNIQUE(
        _xlfn._xlws.FILTER(
            tblPreset[Pathway],
            (tblPreset[Sector] = "Forestry") *
            (tblPreset[Country] = selCountry)
        )
    )
),"")</f>
        <v>ANY</v>
      </c>
      <c r="H2" s="192" t="str" cm="1">
        <f t="array" ref="H2">IF(selCountry&lt;&gt;"Kenya",IFERROR(_xlfn._xlws.SORT(
_xlfn.UNIQUE(
_xlfn._xlws.FILTER(
tblPreset[Activity_Category],
(tblPreset[Sector]='4.Inputs'!D8)*
(tblPreset[Country]=selCountry) * (tblPreset[Activity_Category]&lt;&gt;"ANY")
)
)
),""),IF(
annual_credits&gt;15000,"Issuance_&gt;15,000","Issuance_≤15,000"
)
)</f>
        <v>Forestry</v>
      </c>
      <c r="I2" s="192" t="str" cm="1">
        <f t="array" ref="I2">IFERROR(_xlfn._xlws.SORT(
    _xlfn.UNIQUE(
        _xlfn._xlws.FILTER(
            tblPreset[Activity_Category],
            (tblPreset[Sector] = "Forestry") *
            (tblPreset[Country] = selCountry) * (tblPreset[Activity_Category] &lt;&gt; "ANY")
        )
    )
),"")</f>
        <v>Forestry</v>
      </c>
      <c r="J2" s="192" t="s">
        <v>430</v>
      </c>
      <c r="K2" s="192" t="str" cm="1">
        <f t="array" ref="K2:K5">IFERROR(_xlfn._xlws.SORT(
    _xlfn.UNIQUE(
        _xlfn._xlws.FILTER(
            tblPreset[Fee_Type],
            (tblPreset[Fee_Type] &lt;&gt; 0)
        )
    )
),"")</f>
        <v>Fixed</v>
      </c>
      <c r="L2" s="192" t="str" cm="1">
        <f t="array" ref="L2:L5">IFERROR(_xlfn._xlws.SORT(
    _xlfn.UNIQUE(
        _xlfn._xlws.FILTER(
            tblPreset[Applies_To],
            (tblPreset[Applies_To] = "annual_credits") + (tblPreset[Applies_To] = "annual_revenue") + (tblPreset[Applies_To] = "authorized_credits") + (tblPreset[Applies_To] = "non_authorized_credits")
        )
    )
),"")</f>
        <v>annual_credits</v>
      </c>
      <c r="M2" s="192" t="s">
        <v>456</v>
      </c>
      <c r="N2" s="192" t="s">
        <v>378</v>
      </c>
      <c r="O2" s="344">
        <v>0</v>
      </c>
      <c r="P2" s="345" t="str">
        <f>IF('4.Inputs'!D8="Forestry", "path_forest", "path_non_forest")</f>
        <v>path_forest</v>
      </c>
      <c r="Q2" s="378" cm="1">
        <f t="array" ref="Q2">IF(_xlfn._xlws.FILTER(tblPreset[Rate_or_Amount],
    (tblPreset[Country]="Zimbabwe")*
    (tblPreset[Sector]="Non-forestry")*
    (tblPreset[Fee_Name]="Registration certificate fee"))*total_credits&gt;10000,10000,_xlfn._xlws.FILTER(tblPreset[Rate_or_Amount],
    (tblPreset[Country]="Zimbabwe")*
    (tblPreset[Sector]="Non-forestry")*
    (tblPreset[Fee_Name]="Registration certificate fee"))*total_credits)*10</f>
        <v>100000</v>
      </c>
    </row>
    <row r="3" spans="1:18" x14ac:dyDescent="0.2">
      <c r="A3" s="192" t="str">
        <v>Kenya</v>
      </c>
      <c r="B3" s="192" t="str">
        <v>Non-forestry</v>
      </c>
      <c r="C3" s="192" t="s">
        <v>362</v>
      </c>
      <c r="F3" s="192" t="str">
        <v>Authorization</v>
      </c>
      <c r="G3" s="192" t="str">
        <v>Authorization</v>
      </c>
      <c r="J3" s="192" t="s">
        <v>681</v>
      </c>
      <c r="K3" s="192" t="str">
        <v>In_Kind_Pct</v>
      </c>
      <c r="L3" s="192" t="str">
        <v>annual_revenue</v>
      </c>
      <c r="M3" s="192" t="s">
        <v>458</v>
      </c>
      <c r="N3" s="192" t="s">
        <v>682</v>
      </c>
      <c r="O3" s="344">
        <v>0.1</v>
      </c>
      <c r="P3" s="345" t="str">
        <f>IF(selCountry&lt;&gt;"Malaysia",IF('4.Inputs'!D8="Forestry","forest_activities","non_forest_activities"),
"activity_support"
)</f>
        <v>forest_activities</v>
      </c>
      <c r="Q3" s="378">
        <f>zw_registration_fee*0.1</f>
        <v>10000</v>
      </c>
    </row>
    <row r="4" spans="1:18" x14ac:dyDescent="0.2">
      <c r="A4" s="192" t="str">
        <v>Malaysia</v>
      </c>
      <c r="C4" s="192" t="s">
        <v>683</v>
      </c>
      <c r="K4" s="192" t="str">
        <v>Per_Unit</v>
      </c>
      <c r="L4" s="192" t="str">
        <v>authorized_credits</v>
      </c>
      <c r="O4" s="344">
        <v>0.2</v>
      </c>
      <c r="P4" s="345" t="str">
        <f>IF(AND(selCountry="Malaysia", '4.Inputs'!D8="Forestry"),
   IF('4.Inputs'!D9&gt;50000,"Area_&gt;50000_ha",
     IF('4.Inputs'!D9&gt;=2500,"Area_2500_49999_ha",
       IF('4.Inputs'!D9&gt;=100,"Area_100_2499_ha","")
     )
   ),
   "ANY"
)</f>
        <v>ANY</v>
      </c>
      <c r="Q4" s="378">
        <f>gross_revenue</f>
        <v>8330000</v>
      </c>
      <c r="R4" s="378"/>
    </row>
    <row r="5" spans="1:18" x14ac:dyDescent="0.2">
      <c r="A5" s="192" t="str">
        <v>Test country</v>
      </c>
      <c r="C5" s="192" t="s">
        <v>684</v>
      </c>
      <c r="K5" s="192" t="str">
        <v>Percentage</v>
      </c>
      <c r="L5" s="192" t="str">
        <v>non_authorized_credits</v>
      </c>
      <c r="O5" s="344">
        <v>0.3</v>
      </c>
    </row>
    <row r="6" spans="1:18" x14ac:dyDescent="0.2">
      <c r="A6" s="192" t="str">
        <v>Zimbabwe</v>
      </c>
      <c r="C6" s="192" t="s">
        <v>685</v>
      </c>
      <c r="O6" s="344">
        <v>0.4</v>
      </c>
    </row>
    <row r="7" spans="1:18" x14ac:dyDescent="0.2">
      <c r="C7" s="192" t="s">
        <v>686</v>
      </c>
      <c r="O7" s="344">
        <v>0.5</v>
      </c>
    </row>
    <row r="8" spans="1:18" x14ac:dyDescent="0.2">
      <c r="C8" s="192" t="s">
        <v>687</v>
      </c>
      <c r="O8" s="344">
        <v>0.6</v>
      </c>
      <c r="Q8" s="378"/>
      <c r="R8" s="379"/>
    </row>
    <row r="9" spans="1:18" x14ac:dyDescent="0.2">
      <c r="C9" s="192" t="s">
        <v>688</v>
      </c>
      <c r="O9" s="344">
        <v>0.7</v>
      </c>
      <c r="Q9" s="378"/>
      <c r="R9" s="379"/>
    </row>
    <row r="10" spans="1:18" x14ac:dyDescent="0.2">
      <c r="C10" s="192" t="s">
        <v>689</v>
      </c>
      <c r="O10" s="344">
        <v>0.8</v>
      </c>
    </row>
    <row r="11" spans="1:18" x14ac:dyDescent="0.2">
      <c r="O11" s="344">
        <v>0.9</v>
      </c>
    </row>
    <row r="12" spans="1:18" x14ac:dyDescent="0.2">
      <c r="O12" s="344">
        <v>1</v>
      </c>
    </row>
    <row r="13" spans="1:18" x14ac:dyDescent="0.2">
      <c r="M13" s="346"/>
    </row>
  </sheetData>
  <sheetProtection algorithmName="SHA-512" hashValue="aneFIff1RbieiGUKd61OpWzB/ogEssGW/aafVQ7s3pA5atmy8dsfGxg8zC/za9lovpPu6hCPPesJRQgt3EidhA==" saltValue="t1WkOk32z2XnMY2mAcEO2g==" spinCount="100000" sheet="1" selectLockedCells="1"/>
  <sortState xmlns:xlrd2="http://schemas.microsoft.com/office/spreadsheetml/2017/richdata2" ref="C2:C10">
    <sortCondition ref="C2:C10"/>
  </sortState>
  <pageMargins left="0.7" right="0.7" top="0.75" bottom="0.75" header="0.3" footer="0.3"/>
  <pageSetup paperSize="9"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045FCC87FFFB4D8B97E978800440BF" ma:contentTypeVersion="3" ma:contentTypeDescription="Create a new document." ma:contentTypeScope="" ma:versionID="324d551bffe299170099b2c477afc458">
  <xsd:schema xmlns:xsd="http://www.w3.org/2001/XMLSchema" xmlns:xs="http://www.w3.org/2001/XMLSchema" xmlns:p="http://schemas.microsoft.com/office/2006/metadata/properties" xmlns:ns2="3eee2324-0fbd-4e2e-962a-8fb6f0dcda34" targetNamespace="http://schemas.microsoft.com/office/2006/metadata/properties" ma:root="true" ma:fieldsID="8889b7afdb9eacb903ed6fafac4c3d9e" ns2:_="">
    <xsd:import namespace="3eee2324-0fbd-4e2e-962a-8fb6f0dcda3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ee2324-0fbd-4e2e-962a-8fb6f0dcda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BF3C46-47D5-43E2-B144-21527E729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ee2324-0fbd-4e2e-962a-8fb6f0dcda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EF3A0B-D9AD-4468-AC5A-522E3CFF29EF}">
  <ds:schemaRefs>
    <ds:schemaRef ds:uri="http://schemas.openxmlformats.org/package/2006/metadata/core-properties"/>
    <ds:schemaRef ds:uri="http://purl.org/dc/terms/"/>
    <ds:schemaRef ds:uri="http://www.w3.org/XML/1998/namespace"/>
    <ds:schemaRef ds:uri="http://schemas.microsoft.com/office/infopath/2007/PartnerControls"/>
    <ds:schemaRef ds:uri="3eee2324-0fbd-4e2e-962a-8fb6f0dcda34"/>
    <ds:schemaRef ds:uri="http://schemas.microsoft.com/office/2006/documentManagement/types"/>
    <ds:schemaRef ds:uri="http://purl.org/dc/dcmitype/"/>
    <ds:schemaRef ds:uri="http://purl.org/dc/elements/1.1/"/>
    <ds:schemaRef ds:uri="http://schemas.microsoft.com/office/2006/metadata/properties"/>
  </ds:schemaRefs>
</ds:datastoreItem>
</file>

<file path=customXml/itemProps3.xml><?xml version="1.0" encoding="utf-8"?>
<ds:datastoreItem xmlns:ds="http://schemas.openxmlformats.org/officeDocument/2006/customXml" ds:itemID="{CBED930C-8F18-4DC7-BE7B-E900E6E3F05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27</vt:i4>
      </vt:variant>
    </vt:vector>
  </HeadingPairs>
  <TitlesOfParts>
    <vt:vector size="38" baseType="lpstr">
      <vt:lpstr>Cover</vt:lpstr>
      <vt:lpstr>1.User Guide</vt:lpstr>
      <vt:lpstr>2.Definitions</vt:lpstr>
      <vt:lpstr>3.Gov Dashboard</vt:lpstr>
      <vt:lpstr>4.Inputs</vt:lpstr>
      <vt:lpstr>5.F&amp;L_Calculations</vt:lpstr>
      <vt:lpstr>6.Gov operational costs</vt:lpstr>
      <vt:lpstr>7.Opportunity costs</vt:lpstr>
      <vt:lpstr>8.NDC contribution</vt:lpstr>
      <vt:lpstr>Preset_Data</vt:lpstr>
      <vt:lpstr>Support Table</vt:lpstr>
      <vt:lpstr>activity_support</vt:lpstr>
      <vt:lpstr>annual_credits</vt:lpstr>
      <vt:lpstr>annual_revenue</vt:lpstr>
      <vt:lpstr>annual_revenue_ndc</vt:lpstr>
      <vt:lpstr>authorized_credits</vt:lpstr>
      <vt:lpstr>authorized_credits_ndc</vt:lpstr>
      <vt:lpstr>avg_price</vt:lpstr>
      <vt:lpstr>complete_list</vt:lpstr>
      <vt:lpstr>fx_rate</vt:lpstr>
      <vt:lpstr>gov_source</vt:lpstr>
      <vt:lpstr>gross_revenue</vt:lpstr>
      <vt:lpstr>gross_revenue_ndc</vt:lpstr>
      <vt:lpstr>itmo_price</vt:lpstr>
      <vt:lpstr>non_authorized_credits</vt:lpstr>
      <vt:lpstr>non_authorized_credits_ndc</vt:lpstr>
      <vt:lpstr>selActivityCat</vt:lpstr>
      <vt:lpstr>selCountry</vt:lpstr>
      <vt:lpstr>selProjectType</vt:lpstr>
      <vt:lpstr>tblSupport</vt:lpstr>
      <vt:lpstr>to_usd</vt:lpstr>
      <vt:lpstr>total_credits</vt:lpstr>
      <vt:lpstr>total_credits_ndc</vt:lpstr>
      <vt:lpstr>withheld_authorized_credits</vt:lpstr>
      <vt:lpstr>withheld_authorized_ndc_credits</vt:lpstr>
      <vt:lpstr>zw_environment</vt:lpstr>
      <vt:lpstr>zw_registration_fee</vt:lpstr>
      <vt:lpstr>zw_renewal_fee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Jean-Pierre Sfeir</dc:creator>
  <cp:keywords/>
  <dc:description/>
  <cp:lastModifiedBy>Jean-Pierre Sfeir</cp:lastModifiedBy>
  <cp:revision/>
  <dcterms:created xsi:type="dcterms:W3CDTF">2026-01-14T11:04:27Z</dcterms:created>
  <dcterms:modified xsi:type="dcterms:W3CDTF">2026-06-08T14:15:13Z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0x01010019045FCC87FFFB4D8B97E978800440BF</vt:lpwstr>
  </property>
</Properties>
</file>